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4250" windowHeight="11400" activeTab="3"/>
  </bookViews>
  <sheets>
    <sheet name="Aufteilung" sheetId="1" r:id="rId1"/>
    <sheet name="Heizenergie" sheetId="2" r:id="rId2"/>
    <sheet name="elektr. Energie" sheetId="3" r:id="rId3"/>
    <sheet name="Trinkwasser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<sst xmlns="http://schemas.openxmlformats.org/spreadsheetml/2006/main" count="227" uniqueCount="82">
  <si>
    <t xml:space="preserve">ESP-Schulen </t>
  </si>
  <si>
    <t>Heizenergie -Fernwärme-</t>
  </si>
  <si>
    <t>Monat</t>
  </si>
  <si>
    <t>Verbrauch</t>
  </si>
  <si>
    <t>Mittelwert</t>
  </si>
  <si>
    <t>kWh</t>
  </si>
  <si>
    <t>Einsparung/</t>
  </si>
  <si>
    <t>Mehrverbrauch</t>
  </si>
  <si>
    <t xml:space="preserve"> -elektrische Energie-</t>
  </si>
  <si>
    <t>1995/97</t>
  </si>
  <si>
    <t>addiert</t>
  </si>
  <si>
    <t>korrigierter</t>
  </si>
  <si>
    <t xml:space="preserve"> -Trinkwasser-</t>
  </si>
  <si>
    <t>m³</t>
  </si>
  <si>
    <t>Ergebnisse der Georg-Büchner-Schule</t>
  </si>
  <si>
    <t>Minderverbrauch (kWh)</t>
  </si>
  <si>
    <t>Minderverbrauch (m³)</t>
  </si>
  <si>
    <t>1995/98</t>
  </si>
  <si>
    <t>Mehr- oder</t>
  </si>
  <si>
    <t>Minderver-</t>
  </si>
  <si>
    <t>brauch</t>
  </si>
  <si>
    <t>Summe</t>
  </si>
  <si>
    <t xml:space="preserve">   Gradtagszahl</t>
  </si>
  <si>
    <t>OHNE GLA I</t>
  </si>
  <si>
    <t>Anteil der Wärmekosten für die Georg-Büchner-Schulen 64%</t>
  </si>
  <si>
    <t xml:space="preserve">    64 % der Alten </t>
  </si>
  <si>
    <t xml:space="preserve">       Basiswerte</t>
  </si>
  <si>
    <t xml:space="preserve">Anteil der Stromkosten für die Georg-Büchner-Schulen und </t>
  </si>
  <si>
    <t>dem Sportzentrum 48%</t>
  </si>
  <si>
    <t>Schule und</t>
  </si>
  <si>
    <t>Sportzentrum</t>
  </si>
  <si>
    <t>Anteil der Wasserkosten für die Georg-Büchner-Schulen 73%</t>
  </si>
  <si>
    <t>Georg-</t>
  </si>
  <si>
    <t>Büchner-</t>
  </si>
  <si>
    <t>Schule</t>
  </si>
  <si>
    <t xml:space="preserve">    48 % der Alten </t>
  </si>
  <si>
    <t xml:space="preserve">    73 % der Alten </t>
  </si>
  <si>
    <t>95/97</t>
  </si>
  <si>
    <t>Seestadt Immobilien</t>
  </si>
  <si>
    <t>Verbrauchsüberwachung Schulzentrum Carl-von-Ossietzky, Georg-Büchner-Schule I und II</t>
  </si>
  <si>
    <t>Monat/</t>
  </si>
  <si>
    <t>Heizenergie</t>
  </si>
  <si>
    <t xml:space="preserve">      elektrische Energie</t>
  </si>
  <si>
    <t>elektrische Energie</t>
  </si>
  <si>
    <t>Trinkwasser</t>
  </si>
  <si>
    <t>Jahr</t>
  </si>
  <si>
    <t>Fernwärme</t>
  </si>
  <si>
    <t xml:space="preserve">Verbrauch </t>
  </si>
  <si>
    <t>gesamt</t>
  </si>
  <si>
    <t>GLA</t>
  </si>
  <si>
    <t>SZ-Oss.</t>
  </si>
  <si>
    <t>Büchner</t>
  </si>
  <si>
    <t>incl. Sport</t>
  </si>
  <si>
    <t>Anteilige Berechnung der Verbrauchswerte</t>
  </si>
  <si>
    <t>SZ Carl von Ossietzky,</t>
  </si>
  <si>
    <t>Georg-Büchner-Schule</t>
  </si>
  <si>
    <t>Sportzentum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</si>
  <si>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</si>
  <si>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</si>
  <si>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</si>
  <si>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</si>
  <si>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</si>
  <si>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</si>
  <si>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</si>
  <si>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</si>
  <si>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</si>
  <si>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</si>
  <si>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</si>
  <si>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</si>
  <si>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aktuell</t>
  </si>
  <si>
    <t>Haus1</t>
  </si>
  <si>
    <t>Red  2003 -15%</t>
  </si>
  <si>
    <t>Red 2004 -7%</t>
  </si>
  <si>
    <t>Red 2010 -17%</t>
  </si>
  <si>
    <t>BST (GLA)</t>
  </si>
  <si>
    <t>in 2002 -5%</t>
  </si>
  <si>
    <t>Reduzierung</t>
  </si>
  <si>
    <t>Faktor: 600</t>
  </si>
  <si>
    <t>2017-2018</t>
  </si>
  <si>
    <t>Reduzierung der Verbrauchswerte April bis Juli 2018  um 15% erhöhter Lüftungsbedarf</t>
  </si>
  <si>
    <t>Rohrbruch in der Wasserleitung Jan und Feb 2018</t>
  </si>
  <si>
    <t>Red 2019 -4%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</si>
</sst>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</numFmts>
  <fonts count="5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5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4" borderId="0" xfId="0" applyNumberFormat="1" applyFont="1" applyFill="1" applyAlignment="1">
      <alignment/>
    </xf>
    <xf numFmtId="0" fontId="2" fillId="35" borderId="17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0" fontId="0" fillId="36" borderId="27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" fillId="37" borderId="36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36" borderId="4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3" fontId="0" fillId="37" borderId="44" xfId="0" applyNumberFormat="1" applyFont="1" applyFill="1" applyBorder="1" applyAlignment="1">
      <alignment/>
    </xf>
    <xf numFmtId="3" fontId="0" fillId="37" borderId="46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3" fontId="1" fillId="34" borderId="47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1" fillId="36" borderId="31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2" fillId="35" borderId="54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2" fillId="38" borderId="56" xfId="0" applyFont="1" applyFill="1" applyBorder="1" applyAlignment="1">
      <alignment/>
    </xf>
    <xf numFmtId="0" fontId="2" fillId="38" borderId="42" xfId="0" applyFont="1" applyFill="1" applyBorder="1" applyAlignment="1">
      <alignment/>
    </xf>
    <xf numFmtId="0" fontId="2" fillId="38" borderId="57" xfId="0" applyFont="1" applyFill="1" applyBorder="1" applyAlignment="1">
      <alignment/>
    </xf>
    <xf numFmtId="0" fontId="8" fillId="0" borderId="0" xfId="0" applyFont="1" applyAlignment="1">
      <alignment/>
    </xf>
    <xf numFmtId="0" fontId="9" fillId="36" borderId="58" xfId="0" applyFont="1" applyFill="1" applyBorder="1" applyAlignment="1">
      <alignment horizontal="left"/>
    </xf>
    <xf numFmtId="0" fontId="2" fillId="35" borderId="59" xfId="0" applyFont="1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2" fillId="38" borderId="62" xfId="0" applyFont="1" applyFill="1" applyBorder="1" applyAlignment="1">
      <alignment/>
    </xf>
    <xf numFmtId="0" fontId="2" fillId="38" borderId="63" xfId="0" applyFont="1" applyFill="1" applyBorder="1" applyAlignment="1">
      <alignment/>
    </xf>
    <xf numFmtId="0" fontId="2" fillId="38" borderId="64" xfId="0" applyFont="1" applyFill="1" applyBorder="1" applyAlignment="1">
      <alignment/>
    </xf>
    <xf numFmtId="16" fontId="0" fillId="36" borderId="26" xfId="0" applyNumberFormat="1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36" borderId="65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66" xfId="0" applyFont="1" applyFill="1" applyBorder="1" applyAlignment="1">
      <alignment/>
    </xf>
    <xf numFmtId="0" fontId="0" fillId="39" borderId="67" xfId="0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0" fontId="0" fillId="36" borderId="42" xfId="0" applyFont="1" applyFill="1" applyBorder="1" applyAlignment="1">
      <alignment/>
    </xf>
    <xf numFmtId="0" fontId="0" fillId="36" borderId="57" xfId="0" applyFont="1" applyFill="1" applyBorder="1" applyAlignment="1">
      <alignment/>
    </xf>
    <xf numFmtId="0" fontId="0" fillId="40" borderId="21" xfId="0" applyFont="1" applyFill="1" applyBorder="1" applyAlignment="1">
      <alignment horizontal="center"/>
    </xf>
    <xf numFmtId="0" fontId="0" fillId="40" borderId="68" xfId="0" applyFont="1" applyFill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0" fontId="0" fillId="40" borderId="52" xfId="0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/>
    </xf>
    <xf numFmtId="0" fontId="0" fillId="40" borderId="69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/>
    </xf>
    <xf numFmtId="0" fontId="0" fillId="40" borderId="70" xfId="0" applyFont="1" applyFill="1" applyBorder="1" applyAlignment="1">
      <alignment horizontal="center"/>
    </xf>
    <xf numFmtId="0" fontId="0" fillId="40" borderId="71" xfId="0" applyFont="1" applyFill="1" applyBorder="1" applyAlignment="1">
      <alignment horizontal="center"/>
    </xf>
    <xf numFmtId="0" fontId="0" fillId="40" borderId="7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41" borderId="7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41" borderId="75" xfId="0" applyNumberFormat="1" applyFont="1" applyFill="1" applyBorder="1" applyAlignment="1">
      <alignment/>
    </xf>
    <xf numFmtId="3" fontId="0" fillId="41" borderId="7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3" fontId="0" fillId="0" borderId="78" xfId="0" applyNumberFormat="1" applyFont="1" applyBorder="1" applyAlignment="1">
      <alignment/>
    </xf>
    <xf numFmtId="3" fontId="0" fillId="41" borderId="79" xfId="0" applyNumberFormat="1" applyFont="1" applyFill="1" applyBorder="1" applyAlignment="1">
      <alignment/>
    </xf>
    <xf numFmtId="3" fontId="0" fillId="35" borderId="80" xfId="0" applyNumberFormat="1" applyFont="1" applyFill="1" applyBorder="1" applyAlignment="1">
      <alignment/>
    </xf>
    <xf numFmtId="3" fontId="0" fillId="35" borderId="8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Font="1" applyAlignment="1">
      <alignment/>
    </xf>
    <xf numFmtId="9" fontId="0" fillId="0" borderId="54" xfId="0" applyNumberFormat="1" applyFont="1" applyBorder="1" applyAlignment="1">
      <alignment/>
    </xf>
    <xf numFmtId="9" fontId="0" fillId="0" borderId="55" xfId="0" applyNumberFormat="1" applyFont="1" applyBorder="1" applyAlignment="1">
      <alignment/>
    </xf>
    <xf numFmtId="9" fontId="0" fillId="33" borderId="74" xfId="0" applyNumberFormat="1" applyFont="1" applyFill="1" applyBorder="1" applyAlignment="1">
      <alignment/>
    </xf>
    <xf numFmtId="9" fontId="0" fillId="0" borderId="82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9" fontId="0" fillId="33" borderId="83" xfId="0" applyNumberFormat="1" applyFont="1" applyFill="1" applyBorder="1" applyAlignment="1">
      <alignment/>
    </xf>
    <xf numFmtId="9" fontId="0" fillId="0" borderId="84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33" borderId="69" xfId="0" applyNumberFormat="1" applyFont="1" applyFill="1" applyBorder="1" applyAlignment="1">
      <alignment/>
    </xf>
    <xf numFmtId="9" fontId="0" fillId="0" borderId="85" xfId="0" applyNumberFormat="1" applyFont="1" applyBorder="1" applyAlignment="1">
      <alignment/>
    </xf>
    <xf numFmtId="9" fontId="0" fillId="0" borderId="60" xfId="0" applyNumberFormat="1" applyFont="1" applyBorder="1" applyAlignment="1">
      <alignment/>
    </xf>
    <xf numFmtId="9" fontId="0" fillId="33" borderId="86" xfId="0" applyNumberFormat="1" applyFont="1" applyFill="1" applyBorder="1" applyAlignment="1">
      <alignment/>
    </xf>
    <xf numFmtId="9" fontId="0" fillId="0" borderId="87" xfId="0" applyNumberFormat="1" applyFont="1" applyBorder="1" applyAlignment="1">
      <alignment/>
    </xf>
    <xf numFmtId="9" fontId="0" fillId="0" borderId="88" xfId="0" applyNumberFormat="1" applyFont="1" applyBorder="1" applyAlignment="1">
      <alignment/>
    </xf>
    <xf numFmtId="9" fontId="0" fillId="33" borderId="89" xfId="0" applyNumberFormat="1" applyFont="1" applyFill="1" applyBorder="1" applyAlignment="1">
      <alignment/>
    </xf>
    <xf numFmtId="9" fontId="0" fillId="0" borderId="90" xfId="0" applyNumberFormat="1" applyFont="1" applyBorder="1" applyAlignment="1">
      <alignment/>
    </xf>
    <xf numFmtId="9" fontId="0" fillId="0" borderId="39" xfId="0" applyNumberFormat="1" applyFont="1" applyBorder="1" applyAlignment="1">
      <alignment/>
    </xf>
    <xf numFmtId="9" fontId="0" fillId="33" borderId="79" xfId="0" applyNumberFormat="1" applyFont="1" applyFill="1" applyBorder="1" applyAlignment="1">
      <alignment/>
    </xf>
    <xf numFmtId="9" fontId="0" fillId="0" borderId="56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9" fontId="0" fillId="33" borderId="72" xfId="0" applyNumberFormat="1" applyFont="1" applyFill="1" applyBorder="1" applyAlignment="1">
      <alignment/>
    </xf>
    <xf numFmtId="17" fontId="0" fillId="36" borderId="18" xfId="0" applyNumberFormat="1" applyFont="1" applyFill="1" applyBorder="1" applyAlignment="1">
      <alignment horizontal="center"/>
    </xf>
    <xf numFmtId="17" fontId="0" fillId="36" borderId="91" xfId="0" applyNumberFormat="1" applyFont="1" applyFill="1" applyBorder="1" applyAlignment="1">
      <alignment horizontal="center"/>
    </xf>
    <xf numFmtId="17" fontId="0" fillId="36" borderId="92" xfId="0" applyNumberFormat="1" applyFont="1" applyFill="1" applyBorder="1" applyAlignment="1">
      <alignment horizontal="center"/>
    </xf>
    <xf numFmtId="3" fontId="0" fillId="0" borderId="93" xfId="0" applyNumberFormat="1" applyFont="1" applyBorder="1" applyAlignment="1">
      <alignment/>
    </xf>
    <xf numFmtId="3" fontId="0" fillId="35" borderId="94" xfId="0" applyNumberFormat="1" applyFont="1" applyFill="1" applyBorder="1" applyAlignment="1">
      <alignment/>
    </xf>
    <xf numFmtId="3" fontId="0" fillId="35" borderId="95" xfId="0" applyNumberFormat="1" applyFont="1" applyFill="1" applyBorder="1" applyAlignment="1">
      <alignment/>
    </xf>
    <xf numFmtId="3" fontId="0" fillId="0" borderId="96" xfId="0" applyNumberFormat="1" applyFont="1" applyBorder="1" applyAlignment="1">
      <alignment/>
    </xf>
    <xf numFmtId="0" fontId="0" fillId="36" borderId="97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9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41" borderId="58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0" borderId="82" xfId="0" applyFont="1" applyFill="1" applyBorder="1" applyAlignment="1">
      <alignment horizontal="center"/>
    </xf>
    <xf numFmtId="0" fontId="0" fillId="40" borderId="84" xfId="0" applyFont="1" applyFill="1" applyBorder="1" applyAlignment="1">
      <alignment horizontal="center"/>
    </xf>
    <xf numFmtId="0" fontId="0" fillId="40" borderId="56" xfId="0" applyFont="1" applyFill="1" applyBorder="1" applyAlignment="1">
      <alignment horizontal="center"/>
    </xf>
    <xf numFmtId="17" fontId="0" fillId="40" borderId="18" xfId="0" applyNumberFormat="1" applyFont="1" applyFill="1" applyBorder="1" applyAlignment="1">
      <alignment horizontal="center"/>
    </xf>
    <xf numFmtId="0" fontId="0" fillId="35" borderId="99" xfId="0" applyFont="1" applyFill="1" applyBorder="1" applyAlignment="1">
      <alignment horizontal="center"/>
    </xf>
    <xf numFmtId="9" fontId="0" fillId="0" borderId="0" xfId="0" applyNumberFormat="1" applyFont="1" applyAlignment="1">
      <alignment horizontal="center"/>
    </xf>
    <xf numFmtId="17" fontId="0" fillId="40" borderId="91" xfId="0" applyNumberFormat="1" applyFont="1" applyFill="1" applyBorder="1" applyAlignment="1">
      <alignment horizontal="center"/>
    </xf>
    <xf numFmtId="17" fontId="0" fillId="40" borderId="92" xfId="0" applyNumberFormat="1" applyFont="1" applyFill="1" applyBorder="1" applyAlignment="1">
      <alignment horizontal="center"/>
    </xf>
    <xf numFmtId="3" fontId="1" fillId="35" borderId="14" xfId="0" applyNumberFormat="1" applyFont="1" applyFill="1" applyBorder="1" applyAlignment="1">
      <alignment/>
    </xf>
    <xf numFmtId="3" fontId="0" fillId="0" borderId="100" xfId="0" applyNumberFormat="1" applyFont="1" applyBorder="1" applyAlignment="1">
      <alignment/>
    </xf>
    <xf numFmtId="3" fontId="0" fillId="37" borderId="101" xfId="0" applyNumberFormat="1" applyFont="1" applyFill="1" applyBorder="1" applyAlignment="1">
      <alignment/>
    </xf>
    <xf numFmtId="3" fontId="1" fillId="37" borderId="102" xfId="0" applyNumberFormat="1" applyFont="1" applyFill="1" applyBorder="1" applyAlignment="1">
      <alignment/>
    </xf>
    <xf numFmtId="3" fontId="0" fillId="35" borderId="93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3" fontId="0" fillId="0" borderId="4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35" borderId="47" xfId="0" applyNumberFormat="1" applyFont="1" applyFill="1" applyBorder="1" applyAlignment="1">
      <alignment/>
    </xf>
    <xf numFmtId="3" fontId="0" fillId="42" borderId="75" xfId="0" applyNumberFormat="1" applyFont="1" applyFill="1" applyBorder="1" applyAlignment="1">
      <alignment/>
    </xf>
    <xf numFmtId="0" fontId="1" fillId="38" borderId="58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170" fontId="1" fillId="41" borderId="58" xfId="59" applyFont="1" applyFill="1" applyBorder="1" applyAlignment="1">
      <alignment horizontal="center"/>
    </xf>
    <xf numFmtId="170" fontId="1" fillId="41" borderId="0" xfId="59" applyFont="1" applyFill="1" applyBorder="1" applyAlignment="1">
      <alignment horizontal="center"/>
    </xf>
    <xf numFmtId="170" fontId="1" fillId="41" borderId="22" xfId="59" applyFont="1" applyFill="1" applyBorder="1" applyAlignment="1">
      <alignment horizontal="center"/>
    </xf>
    <xf numFmtId="0" fontId="1" fillId="39" borderId="58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der Verbrauchs an Heizenergie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75"/>
          <c:y val="0.1325"/>
          <c:w val="0.9402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Heizenergie!$E$19</c:f>
              <c:strCache>
                <c:ptCount val="1"/>
                <c:pt idx="0">
                  <c:v>1995/98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Heizenergie!$A$20:$A$31</c:f>
              <c:strCache/>
            </c:strRef>
          </c:cat>
          <c:val>
            <c:numRef>
              <c:f>Heizenergie!$E$20:$E$31</c:f>
              <c:numCache/>
            </c:numRef>
          </c:val>
          <c:smooth val="0"/>
        </c:ser>
        <c:ser>
          <c:idx val="1"/>
          <c:order val="1"/>
          <c:tx>
            <c:strRef>
              <c:f>Heizenergie!$K$19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Heizenergie!$A$20:$A$31</c:f>
              <c:strCache/>
            </c:strRef>
          </c:cat>
          <c:val>
            <c:numRef>
              <c:f>Heizenergie!$K$20:$K$31</c:f>
              <c:numCache/>
            </c:numRef>
          </c:val>
          <c:smooth val="0"/>
        </c:ser>
        <c:marker val="1"/>
        <c:axId val="51328213"/>
        <c:axId val="59300734"/>
      </c:lineChart>
      <c:catAx>
        <c:axId val="51328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0734"/>
        <c:crosses val="autoZero"/>
        <c:auto val="1"/>
        <c:lblOffset val="100"/>
        <c:tickLblSkip val="1"/>
        <c:noMultiLvlLbl val="0"/>
      </c:catAx>
      <c:valAx>
        <c:axId val="5930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19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8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"/>
          <c:y val="0.896"/>
          <c:w val="0.2957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elektrische Energie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025"/>
          <c:y val="0.12575"/>
          <c:w val="0.93975"/>
          <c:h val="0.6812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Energie'!$C$17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Energie'!$A$18:$A$29</c:f>
              <c:strCache/>
            </c:strRef>
          </c:cat>
          <c:val>
            <c:numRef>
              <c:f>'elektr. Energie'!$C$18:$C$29</c:f>
              <c:numCache/>
            </c:numRef>
          </c:val>
          <c:smooth val="0"/>
        </c:ser>
        <c:ser>
          <c:idx val="1"/>
          <c:order val="1"/>
          <c:tx>
            <c:strRef>
              <c:f>'elektr. Energie'!$E$17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Energie'!$A$18:$A$29</c:f>
              <c:strCache/>
            </c:strRef>
          </c:cat>
          <c:val>
            <c:numRef>
              <c:f>'elektr. Energie'!$E$18:$E$29</c:f>
              <c:numCache/>
            </c:numRef>
          </c:val>
          <c:smooth val="0"/>
        </c:ser>
        <c:marker val="1"/>
        <c:axId val="63944559"/>
        <c:axId val="38630120"/>
      </c:lineChart>
      <c:catAx>
        <c:axId val="6394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0120"/>
        <c:crosses val="autoZero"/>
        <c:auto val="1"/>
        <c:lblOffset val="100"/>
        <c:tickLblSkip val="1"/>
        <c:noMultiLvlLbl val="0"/>
      </c:catAx>
      <c:valAx>
        <c:axId val="38630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"/>
              <c:y val="0.007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5"/>
          <c:y val="0.89625"/>
          <c:w val="0.363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925"/>
          <c:y val="0.1215"/>
          <c:w val="0.920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Trinkwasser!$D$15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Trinkwasser!$A$16:$A$27</c:f>
              <c:strCache/>
            </c:strRef>
          </c:cat>
          <c:val>
            <c:numRef>
              <c:f>Trinkwasser!$D$16:$D$27</c:f>
              <c:numCache/>
            </c:numRef>
          </c:val>
          <c:smooth val="0"/>
        </c:ser>
        <c:ser>
          <c:idx val="1"/>
          <c:order val="1"/>
          <c:tx>
            <c:strRef>
              <c:f>Trinkwasser!$F$15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Trinkwasser!$A$16:$A$27</c:f>
              <c:strCache/>
            </c:strRef>
          </c:cat>
          <c:val>
            <c:numRef>
              <c:f>Trinkwasser!$F$16:$F$27</c:f>
              <c:numCache/>
            </c:numRef>
          </c:val>
          <c:smooth val="0"/>
        </c:ser>
        <c:marker val="1"/>
        <c:axId val="12126761"/>
        <c:axId val="42031986"/>
      </c:lineChart>
      <c:catAx>
        <c:axId val="12126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1986"/>
        <c:crosses val="autoZero"/>
        <c:auto val="1"/>
        <c:lblOffset val="100"/>
        <c:tickLblSkip val="1"/>
        <c:noMultiLvlLbl val="0"/>
      </c:catAx>
      <c:valAx>
        <c:axId val="420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pro Monat in m³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6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5"/>
          <c:y val="0.92475"/>
          <c:w val="0.3067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95250</xdr:rowOff>
    </xdr:from>
    <xdr:to>
      <xdr:col>11</xdr:col>
      <xdr:colOff>409575</xdr:colOff>
      <xdr:row>49</xdr:row>
      <xdr:rowOff>114300</xdr:rowOff>
    </xdr:to>
    <xdr:graphicFrame>
      <xdr:nvGraphicFramePr>
        <xdr:cNvPr id="1" name="Diagramm 4"/>
        <xdr:cNvGraphicFramePr/>
      </xdr:nvGraphicFramePr>
      <xdr:xfrm>
        <a:off x="123825" y="5734050"/>
        <a:ext cx="54006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5</xdr:col>
      <xdr:colOff>981075</xdr:colOff>
      <xdr:row>52</xdr:row>
      <xdr:rowOff>57150</xdr:rowOff>
    </xdr:to>
    <xdr:graphicFrame>
      <xdr:nvGraphicFramePr>
        <xdr:cNvPr id="1" name="Diagramm 2"/>
        <xdr:cNvGraphicFramePr/>
      </xdr:nvGraphicFramePr>
      <xdr:xfrm>
        <a:off x="0" y="5924550"/>
        <a:ext cx="49911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76200</xdr:rowOff>
    </xdr:from>
    <xdr:to>
      <xdr:col>7</xdr:col>
      <xdr:colOff>495300</xdr:colOff>
      <xdr:row>50</xdr:row>
      <xdr:rowOff>85725</xdr:rowOff>
    </xdr:to>
    <xdr:graphicFrame>
      <xdr:nvGraphicFramePr>
        <xdr:cNvPr id="1" name="Diagramm 3"/>
        <xdr:cNvGraphicFramePr/>
      </xdr:nvGraphicFramePr>
      <xdr:xfrm>
        <a:off x="9525" y="5429250"/>
        <a:ext cx="5334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L19" sqref="L19"/>
    </sheetView>
  </sheetViews>
  <sheetFormatPr defaultColWidth="11.57421875" defaultRowHeight="12.75"/>
  <cols>
    <col min="1" max="1" width="7.7109375" style="164" customWidth="1"/>
    <col min="2" max="2" width="9.57421875" style="3" bestFit="1" customWidth="1"/>
    <col min="3" max="3" width="10.7109375" style="3" customWidth="1"/>
    <col min="4" max="4" width="9.57421875" style="3" bestFit="1" customWidth="1"/>
    <col min="5" max="5" width="12.421875" style="3" customWidth="1"/>
    <col min="6" max="6" width="14.7109375" style="3" customWidth="1"/>
    <col min="7" max="7" width="19.7109375" style="3" hidden="1" customWidth="1"/>
    <col min="8" max="8" width="11.140625" style="3" bestFit="1" customWidth="1"/>
    <col min="9" max="9" width="9.57421875" style="3" hidden="1" customWidth="1"/>
    <col min="10" max="10" width="9.57421875" style="3" customWidth="1"/>
    <col min="11" max="11" width="9.57421875" style="3" bestFit="1" customWidth="1"/>
    <col min="12" max="12" width="9.28125" style="3" customWidth="1"/>
    <col min="13" max="13" width="11.140625" style="3" customWidth="1"/>
    <col min="14" max="14" width="9.421875" style="3" customWidth="1"/>
    <col min="15" max="16384" width="11.57421875" style="3" customWidth="1"/>
  </cols>
  <sheetData>
    <row r="1" s="88" customFormat="1" ht="15.75">
      <c r="A1" s="163" t="s">
        <v>39</v>
      </c>
    </row>
    <row r="2" ht="13.5" thickBot="1"/>
    <row r="3" spans="1:14" ht="12.75">
      <c r="A3" s="165" t="s">
        <v>40</v>
      </c>
      <c r="B3" s="89"/>
      <c r="C3" s="90" t="s">
        <v>41</v>
      </c>
      <c r="D3" s="91"/>
      <c r="E3" s="89">
        <v>8021769881</v>
      </c>
      <c r="F3" s="90" t="s">
        <v>42</v>
      </c>
      <c r="G3" s="90" t="s">
        <v>43</v>
      </c>
      <c r="H3" s="90"/>
      <c r="I3" s="90"/>
      <c r="J3" s="90"/>
      <c r="K3" s="91"/>
      <c r="L3" s="90"/>
      <c r="M3" s="90" t="s">
        <v>44</v>
      </c>
      <c r="N3" s="92"/>
    </row>
    <row r="4" spans="1:14" ht="13.5" thickBot="1">
      <c r="A4" s="166" t="s">
        <v>45</v>
      </c>
      <c r="B4" s="93"/>
      <c r="C4" s="94" t="s">
        <v>46</v>
      </c>
      <c r="D4" s="95"/>
      <c r="E4" s="162" t="s">
        <v>77</v>
      </c>
      <c r="F4" s="53"/>
      <c r="G4" s="53"/>
      <c r="H4" s="53"/>
      <c r="I4" s="53"/>
      <c r="J4" s="53"/>
      <c r="K4" s="96"/>
      <c r="L4" s="97"/>
      <c r="M4" s="97"/>
      <c r="N4" s="98"/>
    </row>
    <row r="5" spans="1:14" ht="12.75">
      <c r="A5" s="166"/>
      <c r="B5" s="99" t="s">
        <v>3</v>
      </c>
      <c r="C5" s="100" t="s">
        <v>3</v>
      </c>
      <c r="D5" s="101" t="s">
        <v>3</v>
      </c>
      <c r="E5" s="99" t="s">
        <v>3</v>
      </c>
      <c r="F5" s="100" t="s">
        <v>3</v>
      </c>
      <c r="G5" s="100" t="s">
        <v>3</v>
      </c>
      <c r="H5" s="100" t="s">
        <v>3</v>
      </c>
      <c r="I5" s="100" t="s">
        <v>3</v>
      </c>
      <c r="J5" s="102" t="s">
        <v>47</v>
      </c>
      <c r="K5" s="101" t="s">
        <v>3</v>
      </c>
      <c r="L5" s="103" t="s">
        <v>3</v>
      </c>
      <c r="M5" s="100" t="s">
        <v>3</v>
      </c>
      <c r="N5" s="104" t="s">
        <v>3</v>
      </c>
    </row>
    <row r="6" spans="1:14" ht="12.75">
      <c r="A6" s="166"/>
      <c r="B6" s="99" t="s">
        <v>48</v>
      </c>
      <c r="C6" s="100" t="s">
        <v>74</v>
      </c>
      <c r="D6" s="101" t="s">
        <v>50</v>
      </c>
      <c r="E6" s="99" t="s">
        <v>48</v>
      </c>
      <c r="F6" s="100" t="s">
        <v>30</v>
      </c>
      <c r="G6" s="100" t="s">
        <v>30</v>
      </c>
      <c r="H6" s="100" t="s">
        <v>49</v>
      </c>
      <c r="I6" s="100" t="s">
        <v>49</v>
      </c>
      <c r="J6" s="102" t="s">
        <v>51</v>
      </c>
      <c r="K6" s="101" t="s">
        <v>50</v>
      </c>
      <c r="L6" s="103" t="s">
        <v>48</v>
      </c>
      <c r="M6" s="100" t="s">
        <v>49</v>
      </c>
      <c r="N6" s="104" t="s">
        <v>50</v>
      </c>
    </row>
    <row r="7" spans="1:14" ht="12.75">
      <c r="A7" s="166"/>
      <c r="B7" s="99"/>
      <c r="C7" s="100" t="s">
        <v>70</v>
      </c>
      <c r="D7" s="101"/>
      <c r="E7" s="99"/>
      <c r="F7" s="100"/>
      <c r="G7" s="100"/>
      <c r="H7" s="100" t="s">
        <v>70</v>
      </c>
      <c r="I7" s="100"/>
      <c r="J7" s="102" t="s">
        <v>52</v>
      </c>
      <c r="K7" s="101"/>
      <c r="L7" s="103"/>
      <c r="M7" s="100" t="s">
        <v>70</v>
      </c>
      <c r="N7" s="104"/>
    </row>
    <row r="8" spans="1:14" ht="13.5" thickBot="1">
      <c r="A8" s="167"/>
      <c r="B8" s="105" t="s">
        <v>5</v>
      </c>
      <c r="C8" s="106" t="s">
        <v>5</v>
      </c>
      <c r="D8" s="101" t="s">
        <v>5</v>
      </c>
      <c r="E8" s="105" t="s">
        <v>5</v>
      </c>
      <c r="F8" s="106" t="s">
        <v>5</v>
      </c>
      <c r="G8" s="106" t="s">
        <v>5</v>
      </c>
      <c r="H8" s="106" t="s">
        <v>5</v>
      </c>
      <c r="I8" s="106" t="s">
        <v>5</v>
      </c>
      <c r="J8" s="102" t="s">
        <v>5</v>
      </c>
      <c r="K8" s="101" t="s">
        <v>5</v>
      </c>
      <c r="L8" s="107" t="s">
        <v>13</v>
      </c>
      <c r="M8" s="106" t="s">
        <v>13</v>
      </c>
      <c r="N8" s="108" t="s">
        <v>13</v>
      </c>
    </row>
    <row r="9" spans="1:14" ht="12.75">
      <c r="A9" s="168" t="s">
        <v>57</v>
      </c>
      <c r="B9" s="109">
        <v>6400</v>
      </c>
      <c r="C9" s="110">
        <v>1</v>
      </c>
      <c r="D9" s="116">
        <f>+B9-C9</f>
        <v>6399</v>
      </c>
      <c r="E9" s="183">
        <v>33000</v>
      </c>
      <c r="F9" s="111">
        <f>4365+1545</f>
        <v>5910</v>
      </c>
      <c r="G9" s="111"/>
      <c r="H9" s="109">
        <v>14200</v>
      </c>
      <c r="I9" s="110"/>
      <c r="J9" s="116">
        <f>+E9-H9</f>
        <v>18800</v>
      </c>
      <c r="K9" s="186">
        <f>+E9-F9-H9</f>
        <v>12890</v>
      </c>
      <c r="L9" s="62">
        <v>499</v>
      </c>
      <c r="M9" s="110">
        <v>140</v>
      </c>
      <c r="N9" s="112">
        <f>+L9-M9</f>
        <v>359</v>
      </c>
    </row>
    <row r="10" spans="1:14" ht="12.75">
      <c r="A10" s="171" t="s">
        <v>58</v>
      </c>
      <c r="B10" s="113">
        <v>45000</v>
      </c>
      <c r="C10" s="114">
        <v>1</v>
      </c>
      <c r="D10" s="116">
        <f aca="true" t="shared" si="0" ref="D10:D20">+B10-C10</f>
        <v>44999</v>
      </c>
      <c r="E10" s="184">
        <v>43800</v>
      </c>
      <c r="F10" s="115">
        <v>8455</v>
      </c>
      <c r="G10" s="115"/>
      <c r="H10" s="113">
        <v>21000</v>
      </c>
      <c r="I10" s="114"/>
      <c r="J10" s="116">
        <f aca="true" t="shared" si="1" ref="J10:J20">+E10-H10</f>
        <v>22800</v>
      </c>
      <c r="K10" s="186">
        <f aca="true" t="shared" si="2" ref="K10:K20">+E10-F10-H10</f>
        <v>14345</v>
      </c>
      <c r="L10" s="63">
        <v>784</v>
      </c>
      <c r="M10" s="113">
        <v>157</v>
      </c>
      <c r="N10" s="117">
        <f>+L10-M10</f>
        <v>627</v>
      </c>
    </row>
    <row r="11" spans="1:14" ht="12.75">
      <c r="A11" s="171" t="s">
        <v>59</v>
      </c>
      <c r="B11" s="113">
        <v>111000</v>
      </c>
      <c r="C11" s="114">
        <v>40000</v>
      </c>
      <c r="D11" s="116">
        <f t="shared" si="0"/>
        <v>71000</v>
      </c>
      <c r="E11" s="184">
        <v>31800</v>
      </c>
      <c r="F11" s="115">
        <v>11250</v>
      </c>
      <c r="G11" s="115"/>
      <c r="H11" s="115">
        <v>14800</v>
      </c>
      <c r="I11" s="114"/>
      <c r="J11" s="116">
        <f t="shared" si="1"/>
        <v>17000</v>
      </c>
      <c r="K11" s="186">
        <f t="shared" si="2"/>
        <v>5750</v>
      </c>
      <c r="L11" s="63">
        <v>614</v>
      </c>
      <c r="M11" s="114">
        <v>108</v>
      </c>
      <c r="N11" s="117">
        <f aca="true" t="shared" si="3" ref="N11:N19">+L11-M11</f>
        <v>506</v>
      </c>
    </row>
    <row r="12" spans="1:14" ht="12.75">
      <c r="A12" s="171" t="s">
        <v>60</v>
      </c>
      <c r="B12" s="113">
        <v>253000</v>
      </c>
      <c r="C12" s="114">
        <v>70000</v>
      </c>
      <c r="D12" s="116">
        <f t="shared" si="0"/>
        <v>183000</v>
      </c>
      <c r="E12" s="184">
        <v>51000</v>
      </c>
      <c r="F12" s="115">
        <f>10150+2600</f>
        <v>12750</v>
      </c>
      <c r="G12" s="115"/>
      <c r="H12" s="115">
        <f>19600+3800</f>
        <v>23400</v>
      </c>
      <c r="I12" s="114"/>
      <c r="J12" s="116">
        <f t="shared" si="1"/>
        <v>27600</v>
      </c>
      <c r="K12" s="186">
        <f t="shared" si="2"/>
        <v>14850</v>
      </c>
      <c r="L12" s="63">
        <f>165+444</f>
        <v>609</v>
      </c>
      <c r="M12" s="114">
        <f>102+53</f>
        <v>155</v>
      </c>
      <c r="N12" s="117">
        <f t="shared" si="3"/>
        <v>454</v>
      </c>
    </row>
    <row r="13" spans="1:14" ht="12.75">
      <c r="A13" s="171" t="s">
        <v>61</v>
      </c>
      <c r="B13" s="113">
        <v>267000</v>
      </c>
      <c r="C13" s="114">
        <v>64000</v>
      </c>
      <c r="D13" s="116">
        <f t="shared" si="0"/>
        <v>203000</v>
      </c>
      <c r="E13" s="184">
        <v>42600</v>
      </c>
      <c r="F13" s="115">
        <f>8300+2150</f>
        <v>10450</v>
      </c>
      <c r="G13" s="114"/>
      <c r="H13" s="114">
        <f>13400+3400</f>
        <v>16800</v>
      </c>
      <c r="I13" s="114"/>
      <c r="J13" s="116">
        <f t="shared" si="1"/>
        <v>25800</v>
      </c>
      <c r="K13" s="186">
        <f t="shared" si="2"/>
        <v>15350</v>
      </c>
      <c r="L13" s="63">
        <f>111+418</f>
        <v>529</v>
      </c>
      <c r="M13" s="114">
        <f>59+33</f>
        <v>92</v>
      </c>
      <c r="N13" s="117">
        <f t="shared" si="3"/>
        <v>437</v>
      </c>
    </row>
    <row r="14" spans="1:14" ht="12.75">
      <c r="A14" s="171" t="s">
        <v>62</v>
      </c>
      <c r="B14" s="113">
        <v>307000</v>
      </c>
      <c r="C14" s="114">
        <v>88000</v>
      </c>
      <c r="D14" s="116">
        <f t="shared" si="0"/>
        <v>219000</v>
      </c>
      <c r="E14" s="184">
        <v>48000</v>
      </c>
      <c r="F14" s="115">
        <v>10000</v>
      </c>
      <c r="G14" s="114"/>
      <c r="H14" s="114">
        <f>17400+3600</f>
        <v>21000</v>
      </c>
      <c r="I14" s="114"/>
      <c r="J14" s="116">
        <f t="shared" si="1"/>
        <v>27000</v>
      </c>
      <c r="K14" s="186">
        <f t="shared" si="2"/>
        <v>17000</v>
      </c>
      <c r="L14" s="63">
        <v>813</v>
      </c>
      <c r="M14" s="114">
        <v>140</v>
      </c>
      <c r="N14" s="117">
        <f t="shared" si="3"/>
        <v>673</v>
      </c>
    </row>
    <row r="15" spans="1:14" ht="12.75">
      <c r="A15" s="171" t="s">
        <v>63</v>
      </c>
      <c r="B15" s="113">
        <v>263000</v>
      </c>
      <c r="C15" s="114">
        <v>71000</v>
      </c>
      <c r="D15" s="116">
        <f t="shared" si="0"/>
        <v>192000</v>
      </c>
      <c r="E15" s="184">
        <v>42600</v>
      </c>
      <c r="F15" s="115">
        <v>8450</v>
      </c>
      <c r="G15" s="114"/>
      <c r="H15" s="114">
        <f>15600+3400</f>
        <v>19000</v>
      </c>
      <c r="I15" s="114"/>
      <c r="J15" s="116">
        <f t="shared" si="1"/>
        <v>23600</v>
      </c>
      <c r="K15" s="186">
        <f t="shared" si="2"/>
        <v>15150</v>
      </c>
      <c r="L15" s="63">
        <v>745</v>
      </c>
      <c r="M15" s="114">
        <f>105+57</f>
        <v>162</v>
      </c>
      <c r="N15" s="117">
        <f t="shared" si="3"/>
        <v>583</v>
      </c>
    </row>
    <row r="16" spans="1:14" ht="12.75">
      <c r="A16" s="171" t="s">
        <v>64</v>
      </c>
      <c r="B16" s="113">
        <v>259000</v>
      </c>
      <c r="C16" s="114">
        <v>65000</v>
      </c>
      <c r="D16" s="116">
        <f t="shared" si="0"/>
        <v>194000</v>
      </c>
      <c r="E16" s="184">
        <v>36600</v>
      </c>
      <c r="F16" s="115">
        <f>7450+2150</f>
        <v>9600</v>
      </c>
      <c r="G16" s="114"/>
      <c r="H16" s="114">
        <f>12200+3400</f>
        <v>15600</v>
      </c>
      <c r="I16" s="114"/>
      <c r="J16" s="116">
        <f t="shared" si="1"/>
        <v>21000</v>
      </c>
      <c r="K16" s="186">
        <f t="shared" si="2"/>
        <v>11400</v>
      </c>
      <c r="L16" s="63">
        <v>448</v>
      </c>
      <c r="M16" s="114">
        <f>89+47</f>
        <v>136</v>
      </c>
      <c r="N16" s="117">
        <f t="shared" si="3"/>
        <v>312</v>
      </c>
    </row>
    <row r="17" spans="1:14" ht="12.75">
      <c r="A17" s="171" t="s">
        <v>65</v>
      </c>
      <c r="B17" s="113">
        <v>114000</v>
      </c>
      <c r="C17" s="114">
        <v>24000</v>
      </c>
      <c r="D17" s="116">
        <f t="shared" si="0"/>
        <v>90000</v>
      </c>
      <c r="E17" s="184">
        <v>19200</v>
      </c>
      <c r="F17" s="115">
        <f>2450+1150</f>
        <v>3600</v>
      </c>
      <c r="G17" s="114"/>
      <c r="H17" s="114">
        <f>7600+3400</f>
        <v>11000</v>
      </c>
      <c r="I17" s="114"/>
      <c r="J17" s="116">
        <f t="shared" si="1"/>
        <v>8200</v>
      </c>
      <c r="K17" s="186">
        <f t="shared" si="2"/>
        <v>4600</v>
      </c>
      <c r="L17" s="63">
        <v>154</v>
      </c>
      <c r="M17" s="114">
        <f>48+11</f>
        <v>59</v>
      </c>
      <c r="N17" s="117">
        <f t="shared" si="3"/>
        <v>95</v>
      </c>
    </row>
    <row r="18" spans="1:14" ht="12.75">
      <c r="A18" s="171" t="s">
        <v>66</v>
      </c>
      <c r="B18" s="113">
        <v>114000</v>
      </c>
      <c r="C18" s="114">
        <v>20000</v>
      </c>
      <c r="D18" s="116">
        <f t="shared" si="0"/>
        <v>94000</v>
      </c>
      <c r="E18" s="184">
        <v>26400</v>
      </c>
      <c r="F18" s="115">
        <v>3950</v>
      </c>
      <c r="G18" s="114"/>
      <c r="H18" s="114">
        <f>6800+2600</f>
        <v>9400</v>
      </c>
      <c r="I18" s="114"/>
      <c r="J18" s="116">
        <f t="shared" si="1"/>
        <v>17000</v>
      </c>
      <c r="K18" s="186">
        <f t="shared" si="2"/>
        <v>13050</v>
      </c>
      <c r="L18" s="63">
        <v>275</v>
      </c>
      <c r="M18" s="114">
        <f>49+21</f>
        <v>70</v>
      </c>
      <c r="N18" s="117">
        <f t="shared" si="3"/>
        <v>205</v>
      </c>
    </row>
    <row r="19" spans="1:14" ht="12.75">
      <c r="A19" s="171" t="s">
        <v>67</v>
      </c>
      <c r="B19" s="113"/>
      <c r="C19" s="114"/>
      <c r="D19" s="116">
        <f t="shared" si="0"/>
        <v>0</v>
      </c>
      <c r="E19" s="184"/>
      <c r="F19" s="115"/>
      <c r="G19" s="114"/>
      <c r="H19" s="114"/>
      <c r="I19" s="114"/>
      <c r="J19" s="116">
        <f t="shared" si="1"/>
        <v>0</v>
      </c>
      <c r="K19" s="186">
        <f t="shared" si="2"/>
        <v>0</v>
      </c>
      <c r="L19" s="63"/>
      <c r="M19" s="114"/>
      <c r="N19" s="117">
        <f t="shared" si="3"/>
        <v>0</v>
      </c>
    </row>
    <row r="20" spans="1:14" ht="13.5" thickBot="1">
      <c r="A20" s="172" t="s">
        <v>68</v>
      </c>
      <c r="B20" s="118"/>
      <c r="C20" s="119"/>
      <c r="D20" s="116">
        <f t="shared" si="0"/>
        <v>0</v>
      </c>
      <c r="E20" s="184"/>
      <c r="F20" s="120"/>
      <c r="G20" s="119"/>
      <c r="H20" s="114"/>
      <c r="I20" s="119"/>
      <c r="J20" s="116">
        <f t="shared" si="1"/>
        <v>0</v>
      </c>
      <c r="K20" s="186">
        <f t="shared" si="2"/>
        <v>0</v>
      </c>
      <c r="L20" s="121"/>
      <c r="M20" s="119"/>
      <c r="N20" s="122">
        <f>+L20-M20</f>
        <v>0</v>
      </c>
    </row>
    <row r="21" spans="1:14" ht="13.5" thickBot="1">
      <c r="A21" s="169" t="s">
        <v>21</v>
      </c>
      <c r="B21" s="123">
        <f>+SUM(B9:B20)</f>
        <v>1739400</v>
      </c>
      <c r="C21" s="123">
        <f aca="true" t="shared" si="4" ref="C21:N21">+SUM(C9:C20)</f>
        <v>442002</v>
      </c>
      <c r="D21" s="185">
        <f t="shared" si="4"/>
        <v>1297398</v>
      </c>
      <c r="E21" s="123">
        <f t="shared" si="4"/>
        <v>375000</v>
      </c>
      <c r="F21" s="123">
        <f t="shared" si="4"/>
        <v>84415</v>
      </c>
      <c r="G21" s="123">
        <f t="shared" si="4"/>
        <v>0</v>
      </c>
      <c r="H21" s="123">
        <f t="shared" si="4"/>
        <v>166200</v>
      </c>
      <c r="I21" s="123">
        <f t="shared" si="4"/>
        <v>0</v>
      </c>
      <c r="J21" s="185"/>
      <c r="K21" s="185">
        <f t="shared" si="4"/>
        <v>124385</v>
      </c>
      <c r="L21" s="123">
        <f t="shared" si="4"/>
        <v>5470</v>
      </c>
      <c r="M21" s="123">
        <f t="shared" si="4"/>
        <v>1219</v>
      </c>
      <c r="N21" s="124">
        <f t="shared" si="4"/>
        <v>4251</v>
      </c>
    </row>
    <row r="22" ht="13.5" thickTop="1"/>
    <row r="23" spans="1:8" s="88" customFormat="1" ht="15.75">
      <c r="A23" s="164"/>
      <c r="F23" s="88" t="s">
        <v>78</v>
      </c>
      <c r="H23" s="125"/>
    </row>
    <row r="24" spans="3:4" ht="12.75">
      <c r="C24" s="4"/>
      <c r="D24" s="4"/>
    </row>
    <row r="25" ht="12.75">
      <c r="A25" s="179" t="s">
        <v>53</v>
      </c>
    </row>
    <row r="26" ht="12.75">
      <c r="A26" s="180"/>
    </row>
    <row r="27" spans="1:12" s="126" customFormat="1" ht="18">
      <c r="A27" s="181" t="s">
        <v>41</v>
      </c>
      <c r="F27" s="126" t="s">
        <v>43</v>
      </c>
      <c r="L27" s="126" t="s">
        <v>44</v>
      </c>
    </row>
    <row r="28" s="127" customFormat="1" ht="13.5" thickBot="1">
      <c r="A28" s="170"/>
    </row>
    <row r="29" spans="1:14" s="127" customFormat="1" ht="12.75">
      <c r="A29" s="170"/>
      <c r="B29" s="128" t="s">
        <v>49</v>
      </c>
      <c r="C29" s="129"/>
      <c r="D29" s="130">
        <f>+C21/B21</f>
        <v>0.2541117626767851</v>
      </c>
      <c r="F29" s="131" t="s">
        <v>49</v>
      </c>
      <c r="G29" s="132" t="s">
        <v>49</v>
      </c>
      <c r="H29" s="132"/>
      <c r="I29" s="132"/>
      <c r="J29" s="132"/>
      <c r="K29" s="133">
        <f>+H21/E21</f>
        <v>0.4432</v>
      </c>
      <c r="L29" s="131" t="s">
        <v>49</v>
      </c>
      <c r="M29" s="132"/>
      <c r="N29" s="133">
        <f>+M21/L21</f>
        <v>0.22285191956124314</v>
      </c>
    </row>
    <row r="30" spans="1:14" s="127" customFormat="1" ht="12.75">
      <c r="A30" s="170"/>
      <c r="B30" s="134" t="s">
        <v>54</v>
      </c>
      <c r="C30" s="135"/>
      <c r="D30" s="136">
        <f>+D21/B21</f>
        <v>0.7458882373232149</v>
      </c>
      <c r="F30" s="137" t="s">
        <v>54</v>
      </c>
      <c r="G30" s="138" t="s">
        <v>54</v>
      </c>
      <c r="H30" s="138"/>
      <c r="I30" s="138"/>
      <c r="J30" s="138"/>
      <c r="K30" s="139">
        <f>+K21/E21</f>
        <v>0.33169333333333334</v>
      </c>
      <c r="L30" s="137" t="s">
        <v>54</v>
      </c>
      <c r="M30" s="138"/>
      <c r="N30" s="139">
        <f>+N21/L21</f>
        <v>0.7771480804387568</v>
      </c>
    </row>
    <row r="31" spans="1:14" s="127" customFormat="1" ht="12.75">
      <c r="A31" s="170"/>
      <c r="B31" s="134" t="s">
        <v>55</v>
      </c>
      <c r="C31" s="135"/>
      <c r="D31" s="136"/>
      <c r="F31" s="140" t="s">
        <v>55</v>
      </c>
      <c r="G31" s="141" t="s">
        <v>55</v>
      </c>
      <c r="H31" s="141"/>
      <c r="I31" s="141"/>
      <c r="J31" s="141"/>
      <c r="K31" s="142"/>
      <c r="L31" s="134" t="s">
        <v>55</v>
      </c>
      <c r="M31" s="135"/>
      <c r="N31" s="136"/>
    </row>
    <row r="32" spans="1:14" s="127" customFormat="1" ht="12.75">
      <c r="A32" s="170"/>
      <c r="B32" s="134"/>
      <c r="C32" s="135"/>
      <c r="D32" s="136"/>
      <c r="F32" s="134" t="s">
        <v>56</v>
      </c>
      <c r="G32" s="135"/>
      <c r="H32" s="135"/>
      <c r="I32" s="135"/>
      <c r="J32" s="135"/>
      <c r="K32" s="136">
        <f>+F21/E21</f>
        <v>0.22510666666666668</v>
      </c>
      <c r="L32" s="140"/>
      <c r="M32" s="141"/>
      <c r="N32" s="142"/>
    </row>
    <row r="33" spans="1:14" s="127" customFormat="1" ht="13.5" thickBot="1">
      <c r="A33" s="170"/>
      <c r="B33" s="143" t="s">
        <v>21</v>
      </c>
      <c r="C33" s="144"/>
      <c r="D33" s="145">
        <f>+D30+D29</f>
        <v>1</v>
      </c>
      <c r="F33" s="143" t="s">
        <v>21</v>
      </c>
      <c r="G33" s="144"/>
      <c r="H33" s="144"/>
      <c r="I33" s="144"/>
      <c r="J33" s="144"/>
      <c r="K33" s="145">
        <f>+K32+K30+K29</f>
        <v>1</v>
      </c>
      <c r="L33" s="146" t="s">
        <v>21</v>
      </c>
      <c r="M33" s="147"/>
      <c r="N33" s="148">
        <f>+N30+N29</f>
        <v>1</v>
      </c>
    </row>
    <row r="34" s="127" customFormat="1" ht="12.75">
      <c r="A34" s="17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27" sqref="J27:L29"/>
    </sheetView>
  </sheetViews>
  <sheetFormatPr defaultColWidth="11.57421875" defaultRowHeight="12.75"/>
  <cols>
    <col min="1" max="1" width="6.00390625" style="2" customWidth="1"/>
    <col min="2" max="2" width="8.8515625" style="2" customWidth="1"/>
    <col min="3" max="4" width="9.7109375" style="2" hidden="1" customWidth="1"/>
    <col min="5" max="5" width="9.7109375" style="2" customWidth="1"/>
    <col min="6" max="6" width="9.57421875" style="2" bestFit="1" customWidth="1"/>
    <col min="7" max="7" width="9.140625" style="2" bestFit="1" customWidth="1"/>
    <col min="8" max="8" width="8.140625" style="2" customWidth="1"/>
    <col min="9" max="9" width="6.140625" style="2" customWidth="1"/>
    <col min="10" max="10" width="9.421875" style="2" customWidth="1"/>
    <col min="11" max="11" width="9.7109375" style="2" customWidth="1"/>
    <col min="12" max="12" width="9.28125" style="2" customWidth="1"/>
    <col min="13" max="16384" width="11.57421875" style="2" customWidth="1"/>
  </cols>
  <sheetData>
    <row r="1" ht="15">
      <c r="A1" s="2" t="s">
        <v>38</v>
      </c>
    </row>
    <row r="3" spans="1:7" s="1" customFormat="1" ht="21" thickBot="1">
      <c r="A3" s="1" t="s">
        <v>0</v>
      </c>
      <c r="G3" s="1" t="str">
        <f>+'[1]Heizenergie'!$E$2</f>
        <v>2019/20</v>
      </c>
    </row>
    <row r="4" spans="1:10" s="1" customFormat="1" ht="20.25">
      <c r="A4" s="72" t="s">
        <v>14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s="1" customFormat="1" ht="21" thickBot="1">
      <c r="A5" s="75"/>
      <c r="B5" s="76"/>
      <c r="C5" s="76"/>
      <c r="D5" s="76"/>
      <c r="E5" s="76" t="s">
        <v>23</v>
      </c>
      <c r="F5" s="76"/>
      <c r="G5" s="76"/>
      <c r="H5" s="76"/>
      <c r="I5" s="76"/>
      <c r="J5" s="77"/>
    </row>
    <row r="6" ht="15.75">
      <c r="A6" s="78" t="s">
        <v>24</v>
      </c>
    </row>
    <row r="7" ht="5.25" customHeight="1"/>
    <row r="8" s="3" customFormat="1" ht="13.5" thickBot="1">
      <c r="A8" s="5" t="s">
        <v>1</v>
      </c>
    </row>
    <row r="9" spans="1:12" s="3" customFormat="1" ht="15.75" customHeight="1">
      <c r="A9" s="18">
        <v>1</v>
      </c>
      <c r="B9" s="19">
        <v>2</v>
      </c>
      <c r="C9" s="54"/>
      <c r="D9" s="54"/>
      <c r="E9" s="54"/>
      <c r="F9" s="20">
        <v>3</v>
      </c>
      <c r="G9" s="21">
        <v>4</v>
      </c>
      <c r="H9" s="20">
        <v>5</v>
      </c>
      <c r="I9" s="21">
        <v>6</v>
      </c>
      <c r="J9" s="19">
        <v>7</v>
      </c>
      <c r="K9" s="19">
        <v>8</v>
      </c>
      <c r="L9" s="56">
        <v>9</v>
      </c>
    </row>
    <row r="10" spans="1:12" s="3" customFormat="1" ht="12.75">
      <c r="A10" s="22" t="s">
        <v>2</v>
      </c>
      <c r="B10" s="23" t="s">
        <v>3</v>
      </c>
      <c r="C10" s="23"/>
      <c r="D10" s="23"/>
      <c r="E10" s="23" t="s">
        <v>3</v>
      </c>
      <c r="F10" s="24" t="s">
        <v>3</v>
      </c>
      <c r="G10" s="25" t="s">
        <v>3</v>
      </c>
      <c r="H10" s="26" t="s">
        <v>22</v>
      </c>
      <c r="I10" s="25"/>
      <c r="J10" s="27" t="s">
        <v>11</v>
      </c>
      <c r="K10" s="27" t="s">
        <v>11</v>
      </c>
      <c r="L10" s="57" t="s">
        <v>18</v>
      </c>
    </row>
    <row r="11" spans="1:12" s="3" customFormat="1" ht="12.75">
      <c r="A11" s="22"/>
      <c r="B11" s="23" t="s">
        <v>4</v>
      </c>
      <c r="C11" s="23"/>
      <c r="D11" s="23"/>
      <c r="E11" s="23" t="s">
        <v>4</v>
      </c>
      <c r="F11" s="24" t="s">
        <v>32</v>
      </c>
      <c r="G11" s="25" t="s">
        <v>10</v>
      </c>
      <c r="H11" s="23" t="s">
        <v>4</v>
      </c>
      <c r="I11" s="25"/>
      <c r="J11" s="27" t="s">
        <v>3</v>
      </c>
      <c r="K11" s="27" t="s">
        <v>3</v>
      </c>
      <c r="L11" s="57" t="s">
        <v>19</v>
      </c>
    </row>
    <row r="12" spans="1:12" s="3" customFormat="1" ht="12.75">
      <c r="A12" s="22"/>
      <c r="B12" s="23"/>
      <c r="C12" s="23"/>
      <c r="D12" s="23"/>
      <c r="E12" s="23" t="s">
        <v>10</v>
      </c>
      <c r="F12" s="24" t="s">
        <v>33</v>
      </c>
      <c r="G12" s="25"/>
      <c r="H12" s="23"/>
      <c r="I12" s="25"/>
      <c r="J12" s="27"/>
      <c r="K12" s="27" t="s">
        <v>10</v>
      </c>
      <c r="L12" s="57" t="s">
        <v>20</v>
      </c>
    </row>
    <row r="13" spans="1:12" s="3" customFormat="1" ht="12.75">
      <c r="A13" s="22"/>
      <c r="B13" s="23" t="s">
        <v>5</v>
      </c>
      <c r="C13" s="23"/>
      <c r="D13" s="23"/>
      <c r="E13" s="23" t="s">
        <v>5</v>
      </c>
      <c r="F13" s="24" t="s">
        <v>34</v>
      </c>
      <c r="G13" s="25" t="s">
        <v>5</v>
      </c>
      <c r="H13" s="23"/>
      <c r="I13" s="25"/>
      <c r="J13" s="27" t="s">
        <v>5</v>
      </c>
      <c r="K13" s="27" t="s">
        <v>5</v>
      </c>
      <c r="L13" s="57" t="s">
        <v>5</v>
      </c>
    </row>
    <row r="14" spans="1:12" s="3" customFormat="1" ht="12.75">
      <c r="A14" s="22"/>
      <c r="B14" s="79" t="s">
        <v>25</v>
      </c>
      <c r="C14" s="52"/>
      <c r="D14" s="52"/>
      <c r="E14" s="25"/>
      <c r="F14" s="24" t="s">
        <v>5</v>
      </c>
      <c r="G14" s="25"/>
      <c r="H14" s="23"/>
      <c r="I14" s="25"/>
      <c r="J14" s="27"/>
      <c r="K14" s="27"/>
      <c r="L14" s="57"/>
    </row>
    <row r="15" spans="1:12" s="3" customFormat="1" ht="12.75">
      <c r="A15" s="22"/>
      <c r="B15" s="79" t="s">
        <v>26</v>
      </c>
      <c r="C15" s="52"/>
      <c r="D15" s="52"/>
      <c r="E15" s="25"/>
      <c r="F15" s="24"/>
      <c r="G15" s="25"/>
      <c r="H15" s="23"/>
      <c r="I15" s="25"/>
      <c r="J15" s="27"/>
      <c r="K15" s="27"/>
      <c r="L15" s="57"/>
    </row>
    <row r="16" spans="1:12" s="3" customFormat="1" ht="12.75">
      <c r="A16" s="22"/>
      <c r="B16" s="187" t="s">
        <v>71</v>
      </c>
      <c r="C16" s="188"/>
      <c r="D16" s="188"/>
      <c r="E16" s="189"/>
      <c r="F16" s="196" t="s">
        <v>81</v>
      </c>
      <c r="G16" s="197"/>
      <c r="H16" s="23"/>
      <c r="I16" s="25"/>
      <c r="J16" s="27"/>
      <c r="K16" s="27"/>
      <c r="L16" s="57"/>
    </row>
    <row r="17" spans="1:12" s="3" customFormat="1" ht="12.75">
      <c r="A17" s="22"/>
      <c r="B17" s="190" t="s">
        <v>72</v>
      </c>
      <c r="C17" s="191"/>
      <c r="D17" s="191"/>
      <c r="E17" s="192"/>
      <c r="F17" s="24"/>
      <c r="G17" s="25"/>
      <c r="H17" s="23"/>
      <c r="I17" s="25"/>
      <c r="J17" s="27"/>
      <c r="K17" s="27"/>
      <c r="L17" s="57"/>
    </row>
    <row r="18" spans="1:12" s="3" customFormat="1" ht="12.75">
      <c r="A18" s="22"/>
      <c r="B18" s="193" t="s">
        <v>73</v>
      </c>
      <c r="C18" s="194"/>
      <c r="D18" s="194"/>
      <c r="E18" s="195"/>
      <c r="F18" s="24"/>
      <c r="G18" s="25"/>
      <c r="H18" s="23"/>
      <c r="I18" s="25"/>
      <c r="J18" s="27"/>
      <c r="K18" s="27"/>
      <c r="L18" s="57"/>
    </row>
    <row r="19" spans="1:12" s="3" customFormat="1" ht="13.5" thickBot="1">
      <c r="A19" s="28"/>
      <c r="B19" s="29" t="s">
        <v>9</v>
      </c>
      <c r="C19" s="29"/>
      <c r="D19" s="29"/>
      <c r="E19" s="29" t="s">
        <v>17</v>
      </c>
      <c r="F19" s="30" t="str">
        <f>+G3</f>
        <v>2019/20</v>
      </c>
      <c r="G19" s="31" t="str">
        <f>+F19</f>
        <v>2019/20</v>
      </c>
      <c r="H19" s="29" t="s">
        <v>37</v>
      </c>
      <c r="I19" s="86" t="s">
        <v>69</v>
      </c>
      <c r="J19" s="87" t="str">
        <f>+G19</f>
        <v>2019/20</v>
      </c>
      <c r="K19" s="27" t="str">
        <f>+G19</f>
        <v>2019/20</v>
      </c>
      <c r="L19" s="57" t="str">
        <f>+K19</f>
        <v>2019/20</v>
      </c>
    </row>
    <row r="20" spans="1:12" s="3" customFormat="1" ht="13.5" thickBot="1">
      <c r="A20" s="149" t="s">
        <v>57</v>
      </c>
      <c r="B20" s="62">
        <v>19579.7664</v>
      </c>
      <c r="C20" s="8">
        <v>30949</v>
      </c>
      <c r="D20" s="8">
        <v>13336</v>
      </c>
      <c r="E20" s="8">
        <f>+B20</f>
        <v>19579.7664</v>
      </c>
      <c r="F20" s="32">
        <f>+Aufteilung!D9</f>
        <v>6399</v>
      </c>
      <c r="G20" s="152">
        <f>+F20</f>
        <v>6399</v>
      </c>
      <c r="H20" s="8">
        <v>10</v>
      </c>
      <c r="I20" s="177">
        <f>+IF(F20=0,"",H20)</f>
        <v>10</v>
      </c>
      <c r="J20" s="6">
        <f aca="true" t="shared" si="0" ref="J20:J26">+F20/I20*H20</f>
        <v>6399</v>
      </c>
      <c r="K20" s="6">
        <f>+J20</f>
        <v>6399</v>
      </c>
      <c r="L20" s="58">
        <f aca="true" t="shared" si="1" ref="L20:L26">+J20-B20</f>
        <v>-13180.7664</v>
      </c>
    </row>
    <row r="21" spans="1:12" s="3" customFormat="1" ht="13.5" thickBot="1">
      <c r="A21" s="150" t="s">
        <v>58</v>
      </c>
      <c r="B21" s="63">
        <v>57846.08639999999</v>
      </c>
      <c r="C21" s="9">
        <v>117500</v>
      </c>
      <c r="D21" s="8">
        <v>13336</v>
      </c>
      <c r="E21" s="9">
        <f aca="true" t="shared" si="2" ref="E21:E31">+E20+B21</f>
        <v>77425.8528</v>
      </c>
      <c r="F21" s="33">
        <f>+Aufteilung!D10</f>
        <v>44999</v>
      </c>
      <c r="G21" s="46">
        <f aca="true" t="shared" si="3" ref="G21:G27">+G20+F21</f>
        <v>51398</v>
      </c>
      <c r="H21" s="9">
        <v>138</v>
      </c>
      <c r="I21" s="153">
        <f>+IF(F21=0,"",'[2]Tabelle1'!$B$4)</f>
        <v>145</v>
      </c>
      <c r="J21" s="7">
        <f t="shared" si="0"/>
        <v>42826.63448275862</v>
      </c>
      <c r="K21" s="7">
        <f aca="true" t="shared" si="4" ref="K21:K26">+K20+J21</f>
        <v>49225.63448275862</v>
      </c>
      <c r="L21" s="59">
        <f t="shared" si="1"/>
        <v>-15019.451917241371</v>
      </c>
    </row>
    <row r="22" spans="1:12" s="3" customFormat="1" ht="13.5" thickBot="1">
      <c r="A22" s="150" t="s">
        <v>59</v>
      </c>
      <c r="B22" s="63">
        <v>114424.46399999999</v>
      </c>
      <c r="C22" s="9">
        <v>245467</v>
      </c>
      <c r="D22" s="8">
        <v>13336</v>
      </c>
      <c r="E22" s="9">
        <f t="shared" si="2"/>
        <v>191850.31679999997</v>
      </c>
      <c r="F22" s="33">
        <f>+Aufteilung!D11</f>
        <v>71000</v>
      </c>
      <c r="G22" s="46">
        <f t="shared" si="3"/>
        <v>122398</v>
      </c>
      <c r="H22" s="9">
        <v>264</v>
      </c>
      <c r="I22" s="153">
        <f>+IF(F22=0,"",'[2]Tabelle1'!$B$5)</f>
        <v>264</v>
      </c>
      <c r="J22" s="7">
        <f t="shared" si="0"/>
        <v>71000</v>
      </c>
      <c r="K22" s="7">
        <f t="shared" si="4"/>
        <v>120225.63448275861</v>
      </c>
      <c r="L22" s="59">
        <f t="shared" si="1"/>
        <v>-43424.46399999999</v>
      </c>
    </row>
    <row r="23" spans="1:12" s="3" customFormat="1" ht="13.5" thickBot="1">
      <c r="A23" s="150" t="s">
        <v>60</v>
      </c>
      <c r="B23" s="63">
        <v>181126.18559999997</v>
      </c>
      <c r="C23" s="9">
        <v>396333</v>
      </c>
      <c r="D23" s="8">
        <v>13336</v>
      </c>
      <c r="E23" s="9">
        <f t="shared" si="2"/>
        <v>372976.50239999994</v>
      </c>
      <c r="F23" s="33">
        <f>+Aufteilung!D12</f>
        <v>183000</v>
      </c>
      <c r="G23" s="46">
        <f t="shared" si="3"/>
        <v>305398</v>
      </c>
      <c r="H23" s="9">
        <v>440</v>
      </c>
      <c r="I23" s="153">
        <f>+IF(F23=0,"",'[2]Tabelle1'!$B$6)</f>
        <v>412</v>
      </c>
      <c r="J23" s="7">
        <f t="shared" si="0"/>
        <v>195436.8932038835</v>
      </c>
      <c r="K23" s="7">
        <f t="shared" si="4"/>
        <v>315662.52768664213</v>
      </c>
      <c r="L23" s="59">
        <f t="shared" si="1"/>
        <v>14310.707603883522</v>
      </c>
    </row>
    <row r="24" spans="1:12" s="3" customFormat="1" ht="13.5" thickBot="1">
      <c r="A24" s="150" t="s">
        <v>61</v>
      </c>
      <c r="B24" s="63">
        <v>180021.02399999998</v>
      </c>
      <c r="C24" s="9">
        <v>393833</v>
      </c>
      <c r="D24" s="8">
        <v>13336</v>
      </c>
      <c r="E24" s="9">
        <f t="shared" si="2"/>
        <v>552997.5263999999</v>
      </c>
      <c r="F24" s="33">
        <f>+Aufteilung!D13</f>
        <v>203000</v>
      </c>
      <c r="G24" s="46">
        <f t="shared" si="3"/>
        <v>508398</v>
      </c>
      <c r="H24" s="9">
        <v>495</v>
      </c>
      <c r="I24" s="178">
        <f>+IF(F24=0,"",'[2]Tabelle1'!$B$7)</f>
        <v>448</v>
      </c>
      <c r="J24" s="7">
        <f t="shared" si="0"/>
        <v>224296.875</v>
      </c>
      <c r="K24" s="7">
        <f t="shared" si="4"/>
        <v>539959.4026866421</v>
      </c>
      <c r="L24" s="59">
        <f t="shared" si="1"/>
        <v>44275.851000000024</v>
      </c>
    </row>
    <row r="25" spans="1:12" s="3" customFormat="1" ht="13.5" thickBot="1">
      <c r="A25" s="150" t="s">
        <v>62</v>
      </c>
      <c r="B25" s="63">
        <v>405368.01599999995</v>
      </c>
      <c r="C25" s="9">
        <v>903520</v>
      </c>
      <c r="D25" s="8">
        <v>13336</v>
      </c>
      <c r="E25" s="9">
        <f t="shared" si="2"/>
        <v>958365.5423999998</v>
      </c>
      <c r="F25" s="33">
        <f>+Aufteilung!D14</f>
        <v>219000</v>
      </c>
      <c r="G25" s="46">
        <f t="shared" si="3"/>
        <v>727398</v>
      </c>
      <c r="H25" s="9">
        <v>631</v>
      </c>
      <c r="I25" s="178">
        <f>+IF(F25=0,"",'[2]Tabelle1'!$B$8)</f>
        <v>450</v>
      </c>
      <c r="J25" s="7">
        <f t="shared" si="0"/>
        <v>307086.6666666667</v>
      </c>
      <c r="K25" s="7">
        <f t="shared" si="4"/>
        <v>847046.0693533088</v>
      </c>
      <c r="L25" s="59">
        <f t="shared" si="1"/>
        <v>-98281.34933333326</v>
      </c>
    </row>
    <row r="26" spans="1:12" s="3" customFormat="1" ht="13.5" thickBot="1">
      <c r="A26" s="150" t="s">
        <v>63</v>
      </c>
      <c r="B26" s="63">
        <v>264320.07359999995</v>
      </c>
      <c r="C26" s="9">
        <v>584499</v>
      </c>
      <c r="D26" s="8">
        <v>13336</v>
      </c>
      <c r="E26" s="9">
        <f t="shared" si="2"/>
        <v>1222685.6159999997</v>
      </c>
      <c r="F26" s="33">
        <f>+Aufteilung!D15</f>
        <v>192000</v>
      </c>
      <c r="G26" s="46">
        <f t="shared" si="3"/>
        <v>919398</v>
      </c>
      <c r="H26" s="9">
        <v>481</v>
      </c>
      <c r="I26" s="178">
        <f>+IF(F26=0,"",'[2]Tabelle1'!$B$9)</f>
        <v>406</v>
      </c>
      <c r="J26" s="7">
        <f t="shared" si="0"/>
        <v>227467.98029556652</v>
      </c>
      <c r="K26" s="7">
        <f t="shared" si="4"/>
        <v>1074514.0496488754</v>
      </c>
      <c r="L26" s="59">
        <f t="shared" si="1"/>
        <v>-36852.09330443342</v>
      </c>
    </row>
    <row r="27" spans="1:12" s="3" customFormat="1" ht="13.5" thickBot="1">
      <c r="A27" s="150" t="s">
        <v>64</v>
      </c>
      <c r="B27" s="63">
        <v>270768.57599999994</v>
      </c>
      <c r="C27" s="9">
        <v>599084</v>
      </c>
      <c r="D27" s="8">
        <v>13336</v>
      </c>
      <c r="E27" s="9">
        <f t="shared" si="2"/>
        <v>1493454.1919999996</v>
      </c>
      <c r="F27" s="33">
        <f>+Aufteilung!D16</f>
        <v>194000</v>
      </c>
      <c r="G27" s="46">
        <f t="shared" si="3"/>
        <v>1113398</v>
      </c>
      <c r="H27" s="9">
        <v>499</v>
      </c>
      <c r="I27" s="153">
        <f>+IF(F27=0,"",'[2]Tabelle1'!$B$10)</f>
        <v>426</v>
      </c>
      <c r="J27" s="7">
        <f>+F27/I27*H27</f>
        <v>227244.13145539907</v>
      </c>
      <c r="K27" s="7">
        <f>+K26+J27</f>
        <v>1301758.1811042745</v>
      </c>
      <c r="L27" s="59">
        <f>+J27-B27</f>
        <v>-43524.444544600876</v>
      </c>
    </row>
    <row r="28" spans="1:12" s="3" customFormat="1" ht="13.5" thickBot="1">
      <c r="A28" s="150" t="s">
        <v>65</v>
      </c>
      <c r="B28" s="63">
        <v>135926.112</v>
      </c>
      <c r="C28" s="14">
        <v>294101</v>
      </c>
      <c r="D28" s="8">
        <v>13336</v>
      </c>
      <c r="E28" s="9">
        <f t="shared" si="2"/>
        <v>1629380.3039999995</v>
      </c>
      <c r="F28" s="33">
        <f>+Aufteilung!D17</f>
        <v>90000</v>
      </c>
      <c r="G28" s="46">
        <f>+G27+F28</f>
        <v>1203398</v>
      </c>
      <c r="H28" s="9">
        <v>385</v>
      </c>
      <c r="I28" s="153">
        <f>+IF(F28=0,"",'[2]Tabelle1'!$B$11)</f>
        <v>311</v>
      </c>
      <c r="J28" s="7">
        <f>+F28/I28*H28</f>
        <v>111414.79099678458</v>
      </c>
      <c r="K28" s="7">
        <f>+K27+J28</f>
        <v>1413172.972101059</v>
      </c>
      <c r="L28" s="59">
        <f>+J28-B28</f>
        <v>-24511.321003215417</v>
      </c>
    </row>
    <row r="29" spans="1:12" s="3" customFormat="1" ht="13.5" thickBot="1">
      <c r="A29" s="150" t="s">
        <v>66</v>
      </c>
      <c r="B29" s="63">
        <v>77464.89600000001</v>
      </c>
      <c r="C29" s="14">
        <v>161873</v>
      </c>
      <c r="D29" s="8">
        <v>13336</v>
      </c>
      <c r="E29" s="9">
        <f t="shared" si="2"/>
        <v>1706845.1999999995</v>
      </c>
      <c r="F29" s="33">
        <f>+Aufteilung!D18</f>
        <v>94000</v>
      </c>
      <c r="G29" s="46">
        <f>+G28+F29</f>
        <v>1297398</v>
      </c>
      <c r="H29" s="9">
        <v>232</v>
      </c>
      <c r="I29" s="153">
        <f>+IF(F29=0,"",'[2]Tabelle1'!$B$11)</f>
        <v>311</v>
      </c>
      <c r="J29" s="7">
        <f>+F29/I29*H29</f>
        <v>70122.18649517685</v>
      </c>
      <c r="K29" s="7">
        <f>+K28+J29</f>
        <v>1483295.1585962358</v>
      </c>
      <c r="L29" s="59">
        <f>+J29-B29</f>
        <v>-7342.709504823157</v>
      </c>
    </row>
    <row r="30" spans="1:12" s="3" customFormat="1" ht="13.5" thickBot="1">
      <c r="A30" s="150" t="s">
        <v>67</v>
      </c>
      <c r="B30" s="63">
        <v>43186.56</v>
      </c>
      <c r="C30" s="14">
        <v>84342</v>
      </c>
      <c r="D30" s="8">
        <v>13336</v>
      </c>
      <c r="E30" s="9">
        <f t="shared" si="2"/>
        <v>1750031.7599999995</v>
      </c>
      <c r="F30" s="33">
        <f>+Aufteilung!D19</f>
        <v>0</v>
      </c>
      <c r="G30" s="46">
        <f>+G29+F30</f>
        <v>1297398</v>
      </c>
      <c r="H30" s="9">
        <v>124</v>
      </c>
      <c r="I30" s="153">
        <f>+IF(F30=0,"",'[2]Tabelle1'!$B$11)</f>
      </c>
      <c r="J30" s="7"/>
      <c r="K30" s="7"/>
      <c r="L30" s="59"/>
    </row>
    <row r="31" spans="1:12" s="3" customFormat="1" ht="13.5" thickBot="1">
      <c r="A31" s="151" t="s">
        <v>68</v>
      </c>
      <c r="B31" s="49">
        <v>23417.952</v>
      </c>
      <c r="C31" s="15">
        <v>39629</v>
      </c>
      <c r="D31" s="155">
        <v>13336</v>
      </c>
      <c r="E31" s="15">
        <f t="shared" si="2"/>
        <v>1773449.7119999996</v>
      </c>
      <c r="F31" s="173">
        <f>+Aufteilung!D20</f>
        <v>0</v>
      </c>
      <c r="G31" s="50">
        <f>+G30+F31</f>
        <v>1297398</v>
      </c>
      <c r="H31" s="10">
        <v>30</v>
      </c>
      <c r="I31" s="154">
        <f>+IF(F31=0,"",'[2]Tabelle1'!$B$11)</f>
      </c>
      <c r="J31" s="174"/>
      <c r="K31" s="174"/>
      <c r="L31" s="175"/>
    </row>
    <row r="32" spans="1:12" s="3" customFormat="1" ht="13.5" thickBot="1">
      <c r="A32" s="4"/>
      <c r="B32" s="4"/>
      <c r="C32" s="4"/>
      <c r="D32" s="4"/>
      <c r="E32" s="55"/>
      <c r="F32" s="4"/>
      <c r="G32" s="4"/>
      <c r="H32" s="4"/>
      <c r="I32" s="4"/>
      <c r="J32" s="4"/>
      <c r="K32" s="60" t="s">
        <v>21</v>
      </c>
      <c r="L32" s="61">
        <f>+SUM(L20:L31)</f>
        <v>-223550.04140376393</v>
      </c>
    </row>
    <row r="33" spans="1:11" s="3" customFormat="1" ht="13.5" thickTop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6" s="3" customFormat="1" ht="12.75">
      <c r="B34" s="4"/>
      <c r="C34" s="4"/>
      <c r="D34" s="4"/>
      <c r="E34" s="4"/>
      <c r="F34" s="4"/>
    </row>
    <row r="35" spans="2:5" s="3" customFormat="1" ht="12.75">
      <c r="B35" s="4"/>
      <c r="C35" s="4"/>
      <c r="D35" s="4"/>
      <c r="E35" s="4"/>
    </row>
  </sheetData>
  <sheetProtection/>
  <mergeCells count="4">
    <mergeCell ref="B16:E16"/>
    <mergeCell ref="B17:E17"/>
    <mergeCell ref="B18:E18"/>
    <mergeCell ref="F16:G1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">
      <selection activeCell="D25" sqref="D25:F27"/>
    </sheetView>
  </sheetViews>
  <sheetFormatPr defaultColWidth="11.421875" defaultRowHeight="12.75"/>
  <cols>
    <col min="2" max="2" width="12.7109375" style="0" customWidth="1"/>
    <col min="4" max="4" width="13.140625" style="0" customWidth="1"/>
    <col min="6" max="6" width="15.57421875" style="0" bestFit="1" customWidth="1"/>
  </cols>
  <sheetData>
    <row r="1" spans="1:11" ht="1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8" ht="20.25">
      <c r="A3" s="1" t="s">
        <v>0</v>
      </c>
      <c r="B3" s="1"/>
      <c r="C3" s="1"/>
      <c r="D3" s="1" t="str">
        <f>+Heizenergie!G3</f>
        <v>2019/20</v>
      </c>
      <c r="E3" s="1"/>
      <c r="F3" s="1"/>
      <c r="G3" s="1"/>
      <c r="H3" s="1"/>
    </row>
    <row r="4" spans="1:5" ht="21" thickBot="1">
      <c r="A4" s="80" t="s">
        <v>14</v>
      </c>
      <c r="B4" s="81"/>
      <c r="C4" s="81"/>
      <c r="D4" s="81"/>
      <c r="E4" s="82"/>
    </row>
    <row r="5" spans="1:5" ht="21" thickBot="1">
      <c r="A5" s="83"/>
      <c r="B5" s="84" t="s">
        <v>23</v>
      </c>
      <c r="C5" s="84"/>
      <c r="D5" s="84"/>
      <c r="E5" s="85"/>
    </row>
    <row r="6" spans="1:10" ht="15.75">
      <c r="A6" s="78" t="s">
        <v>27</v>
      </c>
      <c r="B6" s="2"/>
      <c r="C6" s="2"/>
      <c r="D6" s="2"/>
      <c r="E6" s="2"/>
      <c r="F6" s="2"/>
      <c r="G6" s="2"/>
      <c r="H6" s="2"/>
      <c r="I6" s="2"/>
      <c r="J6" s="2"/>
    </row>
    <row r="7" ht="15.75">
      <c r="A7" s="78" t="s">
        <v>28</v>
      </c>
    </row>
    <row r="8" ht="15.75">
      <c r="A8" s="78"/>
    </row>
    <row r="9" spans="1:6" ht="15.75">
      <c r="A9" s="12" t="s">
        <v>8</v>
      </c>
      <c r="B9" s="2"/>
      <c r="C9" s="2"/>
      <c r="D9" s="2"/>
      <c r="E9" s="2"/>
      <c r="F9" s="2"/>
    </row>
    <row r="10" spans="1:6" ht="15.75" thickBot="1">
      <c r="A10" s="2"/>
      <c r="B10" s="2"/>
      <c r="C10" s="2"/>
      <c r="D10" s="2"/>
      <c r="E10" s="2"/>
      <c r="F10" s="2"/>
    </row>
    <row r="11" spans="1:6" ht="12.75">
      <c r="A11" s="34" t="s">
        <v>2</v>
      </c>
      <c r="B11" s="35" t="s">
        <v>3</v>
      </c>
      <c r="C11" s="68" t="s">
        <v>3</v>
      </c>
      <c r="D11" s="37" t="s">
        <v>3</v>
      </c>
      <c r="E11" s="36" t="s">
        <v>3</v>
      </c>
      <c r="F11" s="65" t="s">
        <v>6</v>
      </c>
    </row>
    <row r="12" spans="1:6" ht="12.75">
      <c r="A12" s="22"/>
      <c r="B12" s="23" t="s">
        <v>4</v>
      </c>
      <c r="C12" s="69" t="s">
        <v>10</v>
      </c>
      <c r="D12" s="24" t="s">
        <v>29</v>
      </c>
      <c r="E12" s="38" t="s">
        <v>10</v>
      </c>
      <c r="F12" s="66" t="s">
        <v>7</v>
      </c>
    </row>
    <row r="13" spans="1:6" ht="12.75">
      <c r="A13" s="22"/>
      <c r="B13" s="23" t="s">
        <v>5</v>
      </c>
      <c r="C13" s="69" t="s">
        <v>5</v>
      </c>
      <c r="D13" s="24" t="s">
        <v>30</v>
      </c>
      <c r="E13" s="38" t="s">
        <v>5</v>
      </c>
      <c r="F13" s="66" t="s">
        <v>5</v>
      </c>
    </row>
    <row r="14" spans="1:6" ht="12.75">
      <c r="A14" s="22"/>
      <c r="B14" s="79" t="s">
        <v>35</v>
      </c>
      <c r="C14" s="52"/>
      <c r="D14" s="23"/>
      <c r="E14" s="38"/>
      <c r="F14" s="66"/>
    </row>
    <row r="15" spans="1:6" ht="12.75">
      <c r="A15" s="22"/>
      <c r="B15" s="79" t="s">
        <v>26</v>
      </c>
      <c r="C15" s="52"/>
      <c r="D15" s="23"/>
      <c r="E15" s="38"/>
      <c r="F15" s="66"/>
    </row>
    <row r="16" spans="1:6" ht="12.75">
      <c r="A16" s="22"/>
      <c r="B16" s="161" t="s">
        <v>76</v>
      </c>
      <c r="C16" s="160" t="s">
        <v>75</v>
      </c>
      <c r="D16" s="24" t="s">
        <v>5</v>
      </c>
      <c r="E16" s="38"/>
      <c r="F16" s="66"/>
    </row>
    <row r="17" spans="1:6" ht="13.5" thickBot="1">
      <c r="A17" s="28"/>
      <c r="B17" s="29" t="s">
        <v>9</v>
      </c>
      <c r="C17" s="39" t="s">
        <v>9</v>
      </c>
      <c r="D17" s="30" t="str">
        <f>+D3</f>
        <v>2019/20</v>
      </c>
      <c r="E17" s="64" t="str">
        <f>+D17</f>
        <v>2019/20</v>
      </c>
      <c r="F17" s="67" t="str">
        <f>+E17</f>
        <v>2019/20</v>
      </c>
    </row>
    <row r="18" spans="1:6" ht="12.75">
      <c r="A18" s="149" t="s">
        <v>57</v>
      </c>
      <c r="B18" s="8">
        <v>13298.47326779232</v>
      </c>
      <c r="C18" s="44">
        <f>+B18</f>
        <v>13298.47326779232</v>
      </c>
      <c r="D18" s="32">
        <f>+Aufteilung!J9</f>
        <v>18800</v>
      </c>
      <c r="E18" s="44">
        <f>+D18</f>
        <v>18800</v>
      </c>
      <c r="F18" s="45">
        <f aca="true" t="shared" si="0" ref="F18:F24">+D18-B18</f>
        <v>5501.52673220768</v>
      </c>
    </row>
    <row r="19" spans="1:6" ht="12.75">
      <c r="A19" s="150" t="s">
        <v>58</v>
      </c>
      <c r="B19" s="9">
        <v>22555.871703952314</v>
      </c>
      <c r="C19" s="46">
        <f aca="true" t="shared" si="1" ref="C19:C29">+C18+B19</f>
        <v>35854.344971744635</v>
      </c>
      <c r="D19" s="33">
        <f>+Aufteilung!J10</f>
        <v>22800</v>
      </c>
      <c r="E19" s="46">
        <f aca="true" t="shared" si="2" ref="E19:E24">+E18+D19</f>
        <v>41600</v>
      </c>
      <c r="F19" s="47">
        <f t="shared" si="0"/>
        <v>244.12829604768558</v>
      </c>
    </row>
    <row r="20" spans="1:6" ht="12.75">
      <c r="A20" s="150" t="s">
        <v>59</v>
      </c>
      <c r="B20" s="9">
        <v>22115.04320699232</v>
      </c>
      <c r="C20" s="46">
        <f t="shared" si="1"/>
        <v>57969.388178736954</v>
      </c>
      <c r="D20" s="33">
        <f>+Aufteilung!J11</f>
        <v>17000</v>
      </c>
      <c r="E20" s="46">
        <f t="shared" si="2"/>
        <v>58600</v>
      </c>
      <c r="F20" s="47">
        <f t="shared" si="0"/>
        <v>-5115.043206992319</v>
      </c>
    </row>
    <row r="21" spans="1:6" ht="12.75">
      <c r="A21" s="150" t="s">
        <v>60</v>
      </c>
      <c r="B21" s="9">
        <v>28944.799110393596</v>
      </c>
      <c r="C21" s="46">
        <f t="shared" si="1"/>
        <v>86914.18728913055</v>
      </c>
      <c r="D21" s="33">
        <f>+Aufteilung!J12</f>
        <v>27600</v>
      </c>
      <c r="E21" s="46">
        <f t="shared" si="2"/>
        <v>86200</v>
      </c>
      <c r="F21" s="47">
        <f t="shared" si="0"/>
        <v>-1344.7991103935965</v>
      </c>
    </row>
    <row r="22" spans="1:6" ht="12.75">
      <c r="A22" s="150" t="s">
        <v>61</v>
      </c>
      <c r="B22" s="9">
        <v>22446.987065203197</v>
      </c>
      <c r="C22" s="46">
        <f t="shared" si="1"/>
        <v>109361.17435433375</v>
      </c>
      <c r="D22" s="33">
        <f>+Aufteilung!J13</f>
        <v>25800</v>
      </c>
      <c r="E22" s="46">
        <f t="shared" si="2"/>
        <v>112000</v>
      </c>
      <c r="F22" s="47">
        <f t="shared" si="0"/>
        <v>3353.012934796803</v>
      </c>
    </row>
    <row r="23" spans="1:6" ht="12.75">
      <c r="A23" s="150" t="s">
        <v>62</v>
      </c>
      <c r="B23" s="9">
        <v>28962.432250272</v>
      </c>
      <c r="C23" s="46">
        <f t="shared" si="1"/>
        <v>138323.60660460574</v>
      </c>
      <c r="D23" s="33">
        <f>+Aufteilung!J14</f>
        <v>27000</v>
      </c>
      <c r="E23" s="46">
        <f t="shared" si="2"/>
        <v>139000</v>
      </c>
      <c r="F23" s="47">
        <f t="shared" si="0"/>
        <v>-1962.4322502719988</v>
      </c>
    </row>
    <row r="24" spans="1:6" ht="12.75">
      <c r="A24" s="150" t="s">
        <v>63</v>
      </c>
      <c r="B24" s="9">
        <v>26299.828128633595</v>
      </c>
      <c r="C24" s="46">
        <f t="shared" si="1"/>
        <v>164623.43473323932</v>
      </c>
      <c r="D24" s="33">
        <f>+Aufteilung!J15</f>
        <v>23600</v>
      </c>
      <c r="E24" s="46">
        <f t="shared" si="2"/>
        <v>162600</v>
      </c>
      <c r="F24" s="47">
        <f t="shared" si="0"/>
        <v>-2699.828128633595</v>
      </c>
    </row>
    <row r="25" spans="1:6" ht="12.75">
      <c r="A25" s="150" t="s">
        <v>64</v>
      </c>
      <c r="B25" s="9">
        <v>23891.582049741115</v>
      </c>
      <c r="C25" s="46">
        <f t="shared" si="1"/>
        <v>188515.01678298044</v>
      </c>
      <c r="D25" s="33">
        <f>+Aufteilung!J16</f>
        <v>21000</v>
      </c>
      <c r="E25" s="46">
        <f>+E24+D25</f>
        <v>183600</v>
      </c>
      <c r="F25" s="47">
        <f>+D25-B25</f>
        <v>-2891.582049741115</v>
      </c>
    </row>
    <row r="26" spans="1:6" ht="12.75">
      <c r="A26" s="150" t="s">
        <v>65</v>
      </c>
      <c r="B26" s="48">
        <v>17666.29018137139</v>
      </c>
      <c r="C26" s="46">
        <f t="shared" si="1"/>
        <v>206181.30696435182</v>
      </c>
      <c r="D26" s="33">
        <f>+Aufteilung!J17</f>
        <v>8200</v>
      </c>
      <c r="E26" s="46">
        <f>+E25+D26</f>
        <v>191800</v>
      </c>
      <c r="F26" s="47">
        <f>+D26-B26</f>
        <v>-9466.29018137139</v>
      </c>
    </row>
    <row r="27" spans="1:6" ht="12.75">
      <c r="A27" s="150" t="s">
        <v>66</v>
      </c>
      <c r="B27" s="48">
        <v>20276.083049073983</v>
      </c>
      <c r="C27" s="46">
        <f t="shared" si="1"/>
        <v>226457.39001342581</v>
      </c>
      <c r="D27" s="33">
        <f>+Aufteilung!J18</f>
        <v>17000</v>
      </c>
      <c r="E27" s="46">
        <f>+E26+D27</f>
        <v>208800</v>
      </c>
      <c r="F27" s="47">
        <f>+D27-B27</f>
        <v>-3276.0830490739827</v>
      </c>
    </row>
    <row r="28" spans="1:6" ht="12.75">
      <c r="A28" s="150" t="s">
        <v>67</v>
      </c>
      <c r="B28" s="48">
        <v>19194.752787455953</v>
      </c>
      <c r="C28" s="46">
        <f t="shared" si="1"/>
        <v>245652.14280088176</v>
      </c>
      <c r="D28" s="33"/>
      <c r="E28" s="46"/>
      <c r="F28" s="47"/>
    </row>
    <row r="29" spans="1:6" ht="13.5" thickBot="1">
      <c r="A29" s="151" t="s">
        <v>68</v>
      </c>
      <c r="B29" s="49">
        <v>14607.0836817305</v>
      </c>
      <c r="C29" s="50">
        <f t="shared" si="1"/>
        <v>260259.22648261226</v>
      </c>
      <c r="D29" s="173"/>
      <c r="E29" s="50"/>
      <c r="F29" s="176"/>
    </row>
    <row r="30" spans="1:6" ht="12" customHeight="1">
      <c r="A30" s="4"/>
      <c r="B30" s="4"/>
      <c r="C30" s="11" t="s">
        <v>15</v>
      </c>
      <c r="D30" s="11"/>
      <c r="E30" s="11"/>
      <c r="F30" s="16">
        <f>SUM(F18:F29)</f>
        <v>-17657.39001342583</v>
      </c>
    </row>
    <row r="31" spans="1:6" ht="12.75">
      <c r="A31" s="4"/>
      <c r="B31" s="4"/>
      <c r="C31" s="4"/>
      <c r="D31" s="4"/>
      <c r="E31" s="4"/>
      <c r="F31" s="4"/>
    </row>
    <row r="32" spans="1:6" ht="12.75">
      <c r="A32" s="182" t="s">
        <v>79</v>
      </c>
      <c r="B32" s="4"/>
      <c r="C32" s="4"/>
      <c r="D32" s="4"/>
      <c r="E32" s="4"/>
      <c r="F32" s="4"/>
    </row>
    <row r="56" spans="1:2" ht="12.75">
      <c r="A56" s="13"/>
      <c r="B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3" max="3" width="0" style="0" hidden="1" customWidth="1"/>
    <col min="7" max="7" width="15.57421875" style="0" customWidth="1"/>
  </cols>
  <sheetData>
    <row r="1" spans="1:12" ht="1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8" ht="20.25">
      <c r="A3" s="1" t="s">
        <v>0</v>
      </c>
      <c r="B3" s="1"/>
      <c r="C3" s="1"/>
      <c r="D3" s="1"/>
      <c r="E3" s="1" t="str">
        <f>+Heizenergie!G3</f>
        <v>2019/20</v>
      </c>
      <c r="F3" s="1"/>
      <c r="G3" s="1"/>
      <c r="H3" s="1"/>
    </row>
    <row r="4" spans="1:6" ht="21" thickBot="1">
      <c r="A4" s="17" t="s">
        <v>14</v>
      </c>
      <c r="B4" s="40"/>
      <c r="C4" s="40"/>
      <c r="D4" s="40"/>
      <c r="E4" s="40"/>
      <c r="F4" s="41"/>
    </row>
    <row r="5" spans="1:6" ht="21" thickBot="1">
      <c r="A5" s="83"/>
      <c r="B5" s="84" t="s">
        <v>23</v>
      </c>
      <c r="C5" s="84"/>
      <c r="D5" s="84"/>
      <c r="E5" s="84"/>
      <c r="F5" s="85"/>
    </row>
    <row r="6" spans="1:5" ht="15.75">
      <c r="A6" s="78" t="s">
        <v>31</v>
      </c>
      <c r="B6" s="2"/>
      <c r="C6" s="2"/>
      <c r="D6" s="2"/>
      <c r="E6" s="2"/>
    </row>
    <row r="8" spans="1:7" ht="15.75">
      <c r="A8" s="12" t="s">
        <v>12</v>
      </c>
      <c r="B8" s="2"/>
      <c r="C8" s="2"/>
      <c r="D8" s="2"/>
      <c r="E8" s="2"/>
      <c r="F8" s="2"/>
      <c r="G8" s="2"/>
    </row>
    <row r="9" spans="1:7" ht="15.75" thickBot="1">
      <c r="A9" s="2"/>
      <c r="B9" s="2"/>
      <c r="C9" s="2"/>
      <c r="D9" s="2"/>
      <c r="E9" s="2"/>
      <c r="F9" s="2"/>
      <c r="G9" s="2"/>
    </row>
    <row r="10" spans="1:7" ht="12.75">
      <c r="A10" s="34" t="s">
        <v>2</v>
      </c>
      <c r="B10" s="35" t="s">
        <v>3</v>
      </c>
      <c r="C10" s="51"/>
      <c r="D10" s="42" t="s">
        <v>3</v>
      </c>
      <c r="E10" s="37" t="s">
        <v>3</v>
      </c>
      <c r="F10" s="68" t="s">
        <v>3</v>
      </c>
      <c r="G10" s="70" t="s">
        <v>6</v>
      </c>
    </row>
    <row r="11" spans="1:7" ht="12.75">
      <c r="A11" s="22"/>
      <c r="B11" s="23" t="s">
        <v>4</v>
      </c>
      <c r="C11" s="52"/>
      <c r="D11" s="25" t="s">
        <v>10</v>
      </c>
      <c r="E11" s="24"/>
      <c r="F11" s="69" t="s">
        <v>10</v>
      </c>
      <c r="G11" s="71" t="s">
        <v>7</v>
      </c>
    </row>
    <row r="12" spans="1:7" ht="12.75">
      <c r="A12" s="22"/>
      <c r="B12" s="23" t="s">
        <v>13</v>
      </c>
      <c r="C12" s="43"/>
      <c r="D12" s="43" t="s">
        <v>13</v>
      </c>
      <c r="E12" s="24" t="s">
        <v>13</v>
      </c>
      <c r="F12" s="69" t="s">
        <v>13</v>
      </c>
      <c r="G12" s="71" t="s">
        <v>13</v>
      </c>
    </row>
    <row r="13" spans="1:7" ht="12.75">
      <c r="A13" s="22"/>
      <c r="B13" s="79" t="s">
        <v>36</v>
      </c>
      <c r="C13" s="52"/>
      <c r="D13" s="52"/>
      <c r="E13" s="24"/>
      <c r="F13" s="69"/>
      <c r="G13" s="71"/>
    </row>
    <row r="14" spans="1:7" ht="12.75">
      <c r="A14" s="22"/>
      <c r="B14" s="79" t="s">
        <v>26</v>
      </c>
      <c r="C14" s="52"/>
      <c r="D14" s="52"/>
      <c r="E14" s="24"/>
      <c r="F14" s="69"/>
      <c r="G14" s="71"/>
    </row>
    <row r="15" spans="1:7" ht="13.5" thickBot="1">
      <c r="A15" s="22"/>
      <c r="B15" s="156" t="s">
        <v>9</v>
      </c>
      <c r="C15" s="157"/>
      <c r="D15" s="158" t="s">
        <v>9</v>
      </c>
      <c r="E15" s="24" t="str">
        <f>+E3</f>
        <v>2019/20</v>
      </c>
      <c r="F15" s="159" t="str">
        <f>+E15</f>
        <v>2019/20</v>
      </c>
      <c r="G15" s="71" t="str">
        <f>+F15</f>
        <v>2019/20</v>
      </c>
    </row>
    <row r="16" spans="1:7" ht="12.75">
      <c r="A16" s="149" t="s">
        <v>57</v>
      </c>
      <c r="B16" s="8">
        <v>163.98719999999997</v>
      </c>
      <c r="C16" s="8">
        <v>234</v>
      </c>
      <c r="D16" s="44">
        <f>+B16</f>
        <v>163.98719999999997</v>
      </c>
      <c r="E16" s="32">
        <f>+Aufteilung!N9</f>
        <v>359</v>
      </c>
      <c r="F16" s="44">
        <f>+E16</f>
        <v>359</v>
      </c>
      <c r="G16" s="45">
        <f aca="true" t="shared" si="0" ref="G16:G22">+E16-B16</f>
        <v>195.01280000000003</v>
      </c>
    </row>
    <row r="17" spans="1:7" ht="12.75">
      <c r="A17" s="150" t="s">
        <v>58</v>
      </c>
      <c r="B17" s="9">
        <v>233.3664</v>
      </c>
      <c r="C17" s="9">
        <v>333</v>
      </c>
      <c r="D17" s="46">
        <f aca="true" t="shared" si="1" ref="D17:D27">+D16+B17</f>
        <v>397.3536</v>
      </c>
      <c r="E17" s="33">
        <f>+Aufteilung!N10</f>
        <v>627</v>
      </c>
      <c r="F17" s="46">
        <f aca="true" t="shared" si="2" ref="F17:F22">+F16+E17</f>
        <v>986</v>
      </c>
      <c r="G17" s="47">
        <f t="shared" si="0"/>
        <v>393.6336</v>
      </c>
    </row>
    <row r="18" spans="1:7" ht="12.75">
      <c r="A18" s="150" t="s">
        <v>59</v>
      </c>
      <c r="B18" s="9">
        <v>203.23199999999997</v>
      </c>
      <c r="C18" s="9">
        <v>290</v>
      </c>
      <c r="D18" s="46">
        <f t="shared" si="1"/>
        <v>600.5855999999999</v>
      </c>
      <c r="E18" s="33">
        <f>+Aufteilung!N11</f>
        <v>506</v>
      </c>
      <c r="F18" s="46">
        <f t="shared" si="2"/>
        <v>1492</v>
      </c>
      <c r="G18" s="47">
        <f t="shared" si="0"/>
        <v>302.76800000000003</v>
      </c>
    </row>
    <row r="19" spans="1:7" ht="12.75">
      <c r="A19" s="150" t="s">
        <v>60</v>
      </c>
      <c r="B19" s="9">
        <v>217.24799999999996</v>
      </c>
      <c r="C19" s="9">
        <v>310</v>
      </c>
      <c r="D19" s="46">
        <f t="shared" si="1"/>
        <v>817.8335999999998</v>
      </c>
      <c r="E19" s="33">
        <f>+Aufteilung!N12</f>
        <v>454</v>
      </c>
      <c r="F19" s="46">
        <f t="shared" si="2"/>
        <v>1946</v>
      </c>
      <c r="G19" s="47">
        <f t="shared" si="0"/>
        <v>236.75200000000004</v>
      </c>
    </row>
    <row r="20" spans="1:7" ht="12.75">
      <c r="A20" s="150" t="s">
        <v>61</v>
      </c>
      <c r="B20" s="9">
        <v>160.4832</v>
      </c>
      <c r="C20" s="9">
        <v>229</v>
      </c>
      <c r="D20" s="46">
        <f t="shared" si="1"/>
        <v>978.3167999999998</v>
      </c>
      <c r="E20" s="33">
        <f>+Aufteilung!N13</f>
        <v>437</v>
      </c>
      <c r="F20" s="46">
        <f t="shared" si="2"/>
        <v>2383</v>
      </c>
      <c r="G20" s="47">
        <f t="shared" si="0"/>
        <v>276.5168</v>
      </c>
    </row>
    <row r="21" spans="1:7" ht="12.75">
      <c r="A21" s="150" t="s">
        <v>62</v>
      </c>
      <c r="B21" s="9">
        <v>174.4992</v>
      </c>
      <c r="C21" s="9">
        <v>249</v>
      </c>
      <c r="D21" s="46">
        <f t="shared" si="1"/>
        <v>1152.8159999999998</v>
      </c>
      <c r="E21" s="33">
        <f>+Aufteilung!N14</f>
        <v>673</v>
      </c>
      <c r="F21" s="46">
        <f t="shared" si="2"/>
        <v>3056</v>
      </c>
      <c r="G21" s="47">
        <f t="shared" si="0"/>
        <v>498.5008</v>
      </c>
    </row>
    <row r="22" spans="1:7" ht="12.75">
      <c r="A22" s="150" t="s">
        <v>63</v>
      </c>
      <c r="B22" s="9">
        <v>217.9488</v>
      </c>
      <c r="C22" s="9">
        <v>311</v>
      </c>
      <c r="D22" s="46">
        <f t="shared" si="1"/>
        <v>1370.7648</v>
      </c>
      <c r="E22" s="33">
        <f>+Aufteilung!N15</f>
        <v>583</v>
      </c>
      <c r="F22" s="46">
        <f t="shared" si="2"/>
        <v>3639</v>
      </c>
      <c r="G22" s="47">
        <f t="shared" si="0"/>
        <v>365.0512</v>
      </c>
    </row>
    <row r="23" spans="1:7" ht="12.75">
      <c r="A23" s="150" t="s">
        <v>64</v>
      </c>
      <c r="B23" s="9">
        <v>225.57</v>
      </c>
      <c r="C23" s="9">
        <v>323</v>
      </c>
      <c r="D23" s="46">
        <f t="shared" si="1"/>
        <v>1596.3347999999999</v>
      </c>
      <c r="E23" s="33">
        <f>+Aufteilung!N16</f>
        <v>312</v>
      </c>
      <c r="F23" s="46">
        <f>+F22+E23</f>
        <v>3951</v>
      </c>
      <c r="G23" s="47">
        <f>+E23-B23</f>
        <v>86.43</v>
      </c>
    </row>
    <row r="24" spans="1:7" ht="12.75">
      <c r="A24" s="150" t="s">
        <v>65</v>
      </c>
      <c r="B24" s="9">
        <v>255.79199999999997</v>
      </c>
      <c r="C24" s="48">
        <v>365</v>
      </c>
      <c r="D24" s="46">
        <f t="shared" si="1"/>
        <v>1852.1267999999998</v>
      </c>
      <c r="E24" s="33">
        <f>+Aufteilung!N17</f>
        <v>95</v>
      </c>
      <c r="F24" s="46">
        <f>+F23+E24</f>
        <v>4046</v>
      </c>
      <c r="G24" s="47">
        <f>+E24-B24</f>
        <v>-160.79199999999997</v>
      </c>
    </row>
    <row r="25" spans="1:7" ht="12.75">
      <c r="A25" s="150" t="s">
        <v>66</v>
      </c>
      <c r="B25" s="9">
        <v>175.90079999999998</v>
      </c>
      <c r="C25" s="48">
        <v>251</v>
      </c>
      <c r="D25" s="46">
        <f t="shared" si="1"/>
        <v>2028.0275999999997</v>
      </c>
      <c r="E25" s="33">
        <f>+Aufteilung!N18</f>
        <v>205</v>
      </c>
      <c r="F25" s="46">
        <f>+F24+E25</f>
        <v>4251</v>
      </c>
      <c r="G25" s="47">
        <f>+E25-B25</f>
        <v>29.099200000000025</v>
      </c>
    </row>
    <row r="26" spans="1:7" ht="12.75">
      <c r="A26" s="150" t="s">
        <v>67</v>
      </c>
      <c r="B26" s="9">
        <v>198.56</v>
      </c>
      <c r="C26" s="48">
        <v>284</v>
      </c>
      <c r="D26" s="46">
        <f t="shared" si="1"/>
        <v>2226.5876</v>
      </c>
      <c r="E26" s="33"/>
      <c r="F26" s="46"/>
      <c r="G26" s="47"/>
    </row>
    <row r="27" spans="1:7" ht="13.5" thickBot="1">
      <c r="A27" s="151" t="s">
        <v>68</v>
      </c>
      <c r="B27" s="10">
        <v>162.5856</v>
      </c>
      <c r="C27" s="49">
        <v>232</v>
      </c>
      <c r="D27" s="50">
        <f t="shared" si="1"/>
        <v>2389.1731999999997</v>
      </c>
      <c r="E27" s="173"/>
      <c r="F27" s="50"/>
      <c r="G27" s="176"/>
    </row>
    <row r="28" spans="1:7" ht="12.75">
      <c r="A28" s="4"/>
      <c r="B28" s="4"/>
      <c r="C28" s="4"/>
      <c r="D28" s="11" t="s">
        <v>16</v>
      </c>
      <c r="E28" s="11"/>
      <c r="F28" s="11"/>
      <c r="G28" s="16">
        <f>+F27-D27</f>
        <v>-2389.1731999999997</v>
      </c>
    </row>
    <row r="29" spans="1:7" ht="12.75">
      <c r="A29" s="4" t="s">
        <v>80</v>
      </c>
      <c r="B29" s="4"/>
      <c r="C29" s="4"/>
      <c r="D29" s="4"/>
      <c r="E29" s="4"/>
      <c r="F29" s="4"/>
      <c r="G29" s="4"/>
    </row>
    <row r="30" spans="1:7" ht="12.75">
      <c r="A30" s="3"/>
      <c r="B30" s="3"/>
      <c r="C30" s="3"/>
      <c r="D30" s="4"/>
      <c r="E30" s="3"/>
      <c r="F30" s="3"/>
      <c r="G30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2018-09-06T06:56:54Z</cp:lastPrinted>
  <dcterms:created xsi:type="dcterms:W3CDTF">1999-04-30T04:59:30Z</dcterms:created>
  <dcterms:modified xsi:type="dcterms:W3CDTF">2020-06-18T06:45:45Z</dcterms:modified>
  <cp:category/>
  <cp:version/>
  <cp:contentType/>
  <cp:contentStatus/>
</cp:coreProperties>
</file>