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75" windowWidth="14760" windowHeight="11100" activeTab="3"/>
  </bookViews>
  <sheets>
    <sheet name="Heizenergie RED" sheetId="1" r:id="rId1"/>
    <sheet name="LFI und LIS Strom" sheetId="2" r:id="rId2"/>
    <sheet name="elektr. Energie" sheetId="3" r:id="rId3"/>
    <sheet name="Trinkwasser" sheetId="4" r:id="rId4"/>
  </sheets>
  <externalReferences>
    <externalReference r:id="rId7"/>
    <externalReference r:id="rId8"/>
  </externalReferences>
  <definedNames>
    <definedName name="_xlnm.Print_Area" localSheetId="3">'Trinkwasser'!$A:$IV</definedName>
    <definedName name="_xlnm.Print_Titles" localSheetId="1">'LFI und LIS Strom'!$1:$7</definedName>
  </definedNames>
  <calcPr fullCalcOnLoad="1"/>
</workbook>
</file>

<file path=xl/sharedStrings.xml><?xml version="1.0" encoding="utf-8"?>
<sst xmlns="http://schemas.openxmlformats.org/spreadsheetml/2006/main" count="177" uniqueCount="81">
  <si>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</si>
  <si>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</si>
  <si>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</si>
  <si>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</si>
  <si>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</si>
  <si>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</si>
  <si>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</si>
  <si>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</si>
  <si>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>addiert</t>
  </si>
  <si>
    <t>korrigierter</t>
  </si>
  <si>
    <t xml:space="preserve"> -Trinkwasser-</t>
  </si>
  <si>
    <t>m³</t>
  </si>
  <si>
    <t>7=3/6*5</t>
  </si>
  <si>
    <t>Mehr- oder</t>
  </si>
  <si>
    <t>Minderver-</t>
  </si>
  <si>
    <t>brauch</t>
  </si>
  <si>
    <t xml:space="preserve">    Gradtagszahl</t>
  </si>
  <si>
    <t>Summe</t>
  </si>
  <si>
    <t>1997/2000</t>
  </si>
  <si>
    <t>1997/2001</t>
  </si>
  <si>
    <t>97/00</t>
  </si>
  <si>
    <t xml:space="preserve">  Ergebnisse der Goetheschule</t>
  </si>
  <si>
    <t>Ergebnisse der Goetheschule</t>
  </si>
  <si>
    <t>Heizenergie -Fernwärme-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</si>
  <si>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</si>
  <si>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</si>
  <si>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</si>
  <si>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</si>
  <si>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</si>
  <si>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</si>
  <si>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</si>
  <si>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</si>
  <si>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</si>
  <si>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</si>
  <si>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</si>
  <si>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</si>
  <si>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RED -15%</t>
  </si>
  <si>
    <t>in 2003</t>
  </si>
  <si>
    <t>Seestadt Immobilien</t>
  </si>
  <si>
    <t>elektrische Energie</t>
  </si>
  <si>
    <t>Stand</t>
  </si>
  <si>
    <t>LFI</t>
  </si>
  <si>
    <t>LIS</t>
  </si>
  <si>
    <t>Schule</t>
  </si>
  <si>
    <t>%</t>
  </si>
  <si>
    <t>gesamt</t>
  </si>
  <si>
    <t>und LFI</t>
  </si>
  <si>
    <t>ohne LFI</t>
  </si>
  <si>
    <t>Anteil</t>
  </si>
  <si>
    <t>am Gesamt-</t>
  </si>
  <si>
    <t>strom</t>
  </si>
  <si>
    <t>Reduzierung</t>
  </si>
  <si>
    <t xml:space="preserve"> -elektrische Energie-</t>
  </si>
  <si>
    <t>Faktor 20</t>
  </si>
  <si>
    <t>in 2005 -3%</t>
  </si>
  <si>
    <t>und LIS</t>
  </si>
  <si>
    <t>in 2006 -7%</t>
  </si>
  <si>
    <t>in 2008 -10%</t>
  </si>
  <si>
    <t>Wech</t>
  </si>
  <si>
    <t>aktuell</t>
  </si>
  <si>
    <t>in 2010</t>
  </si>
  <si>
    <t>RED -3%</t>
  </si>
  <si>
    <t>Strom LFI geschätzt</t>
  </si>
  <si>
    <t>Strom prüfen</t>
  </si>
  <si>
    <t>Neue Basiswerte in 2010</t>
  </si>
  <si>
    <t>in 2011</t>
  </si>
  <si>
    <t>???</t>
  </si>
  <si>
    <t>Zähler nur 5stellig 1 bzw. 2 davor setzen !!</t>
  </si>
  <si>
    <t>RED -9%</t>
  </si>
  <si>
    <t>in 2012</t>
  </si>
  <si>
    <t>in 2012 -9%</t>
  </si>
  <si>
    <t>Mehr/Minderverbrauch (m³)</t>
  </si>
  <si>
    <t>Reduziert 2013 -2,5%</t>
  </si>
  <si>
    <t>in 2004 -11%</t>
  </si>
  <si>
    <t>in 2013 -2,5%</t>
  </si>
  <si>
    <t>Reduziert</t>
  </si>
  <si>
    <t>RED -8%</t>
  </si>
  <si>
    <t>in 2014</t>
  </si>
  <si>
    <t>Reduziert 2019 4%</t>
  </si>
  <si>
    <t>Reduziert 2018 4%</t>
  </si>
  <si>
    <t>August 2019 Heizung komplett neu gefüllt. Reduzierung 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</si>
</sst>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0000"/>
  </numFmts>
  <fonts count="6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5.25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0"/>
      <color indexed="8"/>
      <name val="Arial"/>
      <family val="0"/>
    </font>
    <font>
      <sz val="2.55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b/>
      <sz val="9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3" fontId="1" fillId="37" borderId="0" xfId="0" applyNumberFormat="1" applyFont="1" applyFill="1" applyAlignment="1">
      <alignment/>
    </xf>
    <xf numFmtId="3" fontId="1" fillId="37" borderId="32" xfId="0" applyNumberFormat="1" applyFont="1" applyFill="1" applyBorder="1" applyAlignment="1">
      <alignment/>
    </xf>
    <xf numFmtId="0" fontId="1" fillId="35" borderId="33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7" fontId="3" fillId="0" borderId="36" xfId="0" applyNumberFormat="1" applyFont="1" applyBorder="1" applyAlignment="1">
      <alignment horizontal="center"/>
    </xf>
    <xf numFmtId="17" fontId="3" fillId="0" borderId="37" xfId="0" applyNumberFormat="1" applyFont="1" applyBorder="1" applyAlignment="1">
      <alignment horizontal="center"/>
    </xf>
    <xf numFmtId="17" fontId="3" fillId="0" borderId="38" xfId="0" applyNumberFormat="1" applyFont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9" borderId="40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3" fontId="3" fillId="38" borderId="43" xfId="0" applyNumberFormat="1" applyFont="1" applyFill="1" applyBorder="1" applyAlignment="1">
      <alignment horizontal="center"/>
    </xf>
    <xf numFmtId="3" fontId="3" fillId="34" borderId="43" xfId="0" applyNumberFormat="1" applyFont="1" applyFill="1" applyBorder="1" applyAlignment="1">
      <alignment horizontal="center"/>
    </xf>
    <xf numFmtId="3" fontId="8" fillId="39" borderId="43" xfId="0" applyNumberFormat="1" applyFont="1" applyFill="1" applyBorder="1" applyAlignment="1">
      <alignment horizontal="center"/>
    </xf>
    <xf numFmtId="3" fontId="3" fillId="35" borderId="43" xfId="0" applyNumberFormat="1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3" fontId="3" fillId="38" borderId="45" xfId="0" applyNumberFormat="1" applyFont="1" applyFill="1" applyBorder="1" applyAlignment="1">
      <alignment horizontal="center"/>
    </xf>
    <xf numFmtId="3" fontId="3" fillId="34" borderId="45" xfId="0" applyNumberFormat="1" applyFont="1" applyFill="1" applyBorder="1" applyAlignment="1">
      <alignment horizontal="center"/>
    </xf>
    <xf numFmtId="3" fontId="8" fillId="39" borderId="45" xfId="0" applyNumberFormat="1" applyFont="1" applyFill="1" applyBorder="1" applyAlignment="1">
      <alignment horizontal="center"/>
    </xf>
    <xf numFmtId="3" fontId="3" fillId="35" borderId="45" xfId="0" applyNumberFormat="1" applyFont="1" applyFill="1" applyBorder="1" applyAlignment="1">
      <alignment horizontal="center"/>
    </xf>
    <xf numFmtId="10" fontId="3" fillId="35" borderId="46" xfId="0" applyNumberFormat="1" applyFont="1" applyFill="1" applyBorder="1" applyAlignment="1">
      <alignment horizontal="center"/>
    </xf>
    <xf numFmtId="3" fontId="3" fillId="38" borderId="47" xfId="0" applyNumberFormat="1" applyFont="1" applyFill="1" applyBorder="1" applyAlignment="1">
      <alignment horizontal="center"/>
    </xf>
    <xf numFmtId="3" fontId="3" fillId="34" borderId="47" xfId="0" applyNumberFormat="1" applyFont="1" applyFill="1" applyBorder="1" applyAlignment="1">
      <alignment horizontal="center"/>
    </xf>
    <xf numFmtId="3" fontId="8" fillId="39" borderId="4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38" borderId="17" xfId="0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3" fillId="35" borderId="47" xfId="0" applyNumberFormat="1" applyFont="1" applyFill="1" applyBorder="1" applyAlignment="1">
      <alignment horizontal="center"/>
    </xf>
    <xf numFmtId="10" fontId="3" fillId="35" borderId="48" xfId="0" applyNumberFormat="1" applyFont="1" applyFill="1" applyBorder="1" applyAlignment="1">
      <alignment horizontal="center"/>
    </xf>
    <xf numFmtId="3" fontId="3" fillId="38" borderId="49" xfId="0" applyNumberFormat="1" applyFont="1" applyFill="1" applyBorder="1" applyAlignment="1">
      <alignment horizontal="center"/>
    </xf>
    <xf numFmtId="3" fontId="3" fillId="34" borderId="49" xfId="0" applyNumberFormat="1" applyFont="1" applyFill="1" applyBorder="1" applyAlignment="1">
      <alignment horizontal="center"/>
    </xf>
    <xf numFmtId="3" fontId="8" fillId="39" borderId="49" xfId="0" applyNumberFormat="1" applyFont="1" applyFill="1" applyBorder="1" applyAlignment="1">
      <alignment horizontal="center"/>
    </xf>
    <xf numFmtId="3" fontId="3" fillId="35" borderId="49" xfId="0" applyNumberFormat="1" applyFont="1" applyFill="1" applyBorder="1" applyAlignment="1">
      <alignment horizontal="center"/>
    </xf>
    <xf numFmtId="10" fontId="3" fillId="35" borderId="50" xfId="0" applyNumberFormat="1" applyFont="1" applyFill="1" applyBorder="1" applyAlignment="1">
      <alignment horizontal="center"/>
    </xf>
    <xf numFmtId="17" fontId="3" fillId="0" borderId="51" xfId="0" applyNumberFormat="1" applyFont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1" fillId="34" borderId="43" xfId="0" applyNumberFormat="1" applyFont="1" applyFill="1" applyBorder="1" applyAlignment="1">
      <alignment/>
    </xf>
    <xf numFmtId="3" fontId="1" fillId="40" borderId="44" xfId="0" applyNumberFormat="1" applyFont="1" applyFill="1" applyBorder="1" applyAlignment="1">
      <alignment/>
    </xf>
    <xf numFmtId="3" fontId="1" fillId="40" borderId="46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0" fontId="0" fillId="35" borderId="52" xfId="0" applyFont="1" applyFill="1" applyBorder="1" applyAlignment="1">
      <alignment horizontal="center"/>
    </xf>
    <xf numFmtId="0" fontId="11" fillId="0" borderId="0" xfId="0" applyFont="1" applyAlignment="1">
      <alignment/>
    </xf>
    <xf numFmtId="3" fontId="1" fillId="34" borderId="4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41" borderId="17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3" fontId="1" fillId="34" borderId="47" xfId="0" applyNumberFormat="1" applyFont="1" applyFill="1" applyBorder="1" applyAlignment="1">
      <alignment/>
    </xf>
    <xf numFmtId="3" fontId="1" fillId="40" borderId="48" xfId="0" applyNumberFormat="1" applyFont="1" applyFill="1" applyBorder="1" applyAlignment="1">
      <alignment/>
    </xf>
    <xf numFmtId="16" fontId="0" fillId="35" borderId="23" xfId="0" applyNumberFormat="1" applyFont="1" applyFill="1" applyBorder="1" applyAlignment="1">
      <alignment horizontal="center"/>
    </xf>
    <xf numFmtId="3" fontId="0" fillId="34" borderId="45" xfId="0" applyNumberFormat="1" applyFont="1" applyFill="1" applyBorder="1" applyAlignment="1">
      <alignment/>
    </xf>
    <xf numFmtId="17" fontId="0" fillId="35" borderId="36" xfId="0" applyNumberFormat="1" applyFont="1" applyFill="1" applyBorder="1" applyAlignment="1">
      <alignment horizontal="center"/>
    </xf>
    <xf numFmtId="3" fontId="0" fillId="34" borderId="43" xfId="0" applyNumberFormat="1" applyFont="1" applyFill="1" applyBorder="1" applyAlignment="1">
      <alignment/>
    </xf>
    <xf numFmtId="3" fontId="0" fillId="40" borderId="44" xfId="0" applyNumberFormat="1" applyFont="1" applyFill="1" applyBorder="1" applyAlignment="1">
      <alignment/>
    </xf>
    <xf numFmtId="17" fontId="0" fillId="35" borderId="37" xfId="0" applyNumberFormat="1" applyFont="1" applyFill="1" applyBorder="1" applyAlignment="1">
      <alignment horizontal="center"/>
    </xf>
    <xf numFmtId="3" fontId="0" fillId="40" borderId="46" xfId="0" applyNumberFormat="1" applyFont="1" applyFill="1" applyBorder="1" applyAlignment="1">
      <alignment/>
    </xf>
    <xf numFmtId="17" fontId="0" fillId="35" borderId="38" xfId="0" applyNumberFormat="1" applyFont="1" applyFill="1" applyBorder="1" applyAlignment="1">
      <alignment horizontal="center"/>
    </xf>
    <xf numFmtId="3" fontId="0" fillId="34" borderId="47" xfId="0" applyNumberFormat="1" applyFont="1" applyFill="1" applyBorder="1" applyAlignment="1">
      <alignment/>
    </xf>
    <xf numFmtId="0" fontId="0" fillId="38" borderId="52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42" borderId="52" xfId="0" applyFont="1" applyFill="1" applyBorder="1" applyAlignment="1">
      <alignment horizontal="center"/>
    </xf>
    <xf numFmtId="0" fontId="0" fillId="42" borderId="23" xfId="0" applyFont="1" applyFill="1" applyBorder="1" applyAlignment="1">
      <alignment horizontal="center"/>
    </xf>
    <xf numFmtId="0" fontId="0" fillId="43" borderId="52" xfId="0" applyFont="1" applyFill="1" applyBorder="1" applyAlignment="1">
      <alignment horizontal="center"/>
    </xf>
    <xf numFmtId="0" fontId="0" fillId="43" borderId="23" xfId="0" applyFont="1" applyFill="1" applyBorder="1" applyAlignment="1">
      <alignment horizontal="center"/>
    </xf>
    <xf numFmtId="0" fontId="0" fillId="44" borderId="52" xfId="0" applyFont="1" applyFill="1" applyBorder="1" applyAlignment="1">
      <alignment horizontal="center"/>
    </xf>
    <xf numFmtId="0" fontId="0" fillId="44" borderId="23" xfId="0" applyFont="1" applyFill="1" applyBorder="1" applyAlignment="1">
      <alignment horizontal="center"/>
    </xf>
    <xf numFmtId="0" fontId="0" fillId="9" borderId="52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3" fontId="3" fillId="38" borderId="45" xfId="0" applyNumberFormat="1" applyFont="1" applyFill="1" applyBorder="1" applyAlignment="1">
      <alignment horizontal="center"/>
    </xf>
    <xf numFmtId="3" fontId="0" fillId="40" borderId="48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9" borderId="52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45" borderId="52" xfId="0" applyFont="1" applyFill="1" applyBorder="1" applyAlignment="1">
      <alignment horizontal="center"/>
    </xf>
    <xf numFmtId="0" fontId="0" fillId="45" borderId="23" xfId="0" applyFont="1" applyFill="1" applyBorder="1" applyAlignment="1">
      <alignment horizontal="center"/>
    </xf>
    <xf numFmtId="0" fontId="0" fillId="46" borderId="52" xfId="0" applyFont="1" applyFill="1" applyBorder="1" applyAlignment="1">
      <alignment horizontal="center"/>
    </xf>
    <xf numFmtId="0" fontId="0" fillId="46" borderId="23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3125"/>
          <c:y val="0.0237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"/>
          <c:y val="0.11575"/>
          <c:w val="0.9315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'Heizenergie RED'!$C$16</c:f>
              <c:strCache>
                <c:ptCount val="1"/>
                <c:pt idx="0">
                  <c:v>1997/2001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'Heizenergie RED'!$A$17:$A$28</c:f>
              <c:strCache/>
            </c:strRef>
          </c:cat>
          <c:val>
            <c:numRef>
              <c:f>'Heizenergie RED'!$C$17:$C$28</c:f>
              <c:numCache/>
            </c:numRef>
          </c:val>
          <c:smooth val="0"/>
        </c:ser>
        <c:ser>
          <c:idx val="1"/>
          <c:order val="1"/>
          <c:tx>
            <c:strRef>
              <c:f>'Heizenergie RED'!$I$16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'Heizenergie RED'!$A$17:$A$28</c:f>
              <c:strCache/>
            </c:strRef>
          </c:cat>
          <c:val>
            <c:numRef>
              <c:f>'Heizenergie RED'!$I$17:$I$28</c:f>
              <c:numCache/>
            </c:numRef>
          </c:val>
          <c:smooth val="0"/>
        </c:ser>
        <c:marker val="1"/>
        <c:axId val="35145656"/>
        <c:axId val="47875449"/>
      </c:lineChart>
      <c:cat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5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525"/>
          <c:y val="0.932"/>
          <c:w val="0.339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 des LFI und des LIS am Verbrauch elektrischer Energie</a:t>
            </a:r>
          </a:p>
        </c:rich>
      </c:tx>
      <c:layout>
        <c:manualLayout>
          <c:xMode val="factor"/>
          <c:yMode val="factor"/>
          <c:x val="-0.015"/>
          <c:y val="-0.02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1775"/>
          <c:w val="0.904"/>
          <c:h val="0.774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'LFI und LIS Strom'!$A$229:$A$263</c:f>
              <c:strCache/>
            </c:strRef>
          </c:cat>
          <c:val>
            <c:numRef>
              <c:f>'LFI und LIS Strom'!$B$229:$B$263</c:f>
              <c:numCache/>
            </c:numRef>
          </c:val>
        </c:ser>
        <c:axId val="28225858"/>
        <c:axId val="52706131"/>
      </c:areaChart>
      <c:date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0613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 in %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58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125"/>
          <c:y val="0.13525"/>
          <c:w val="0.9215"/>
          <c:h val="0.696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Energie'!$E$12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Energie'!$A$13:$A$24</c:f>
              <c:strCache/>
            </c:strRef>
          </c:cat>
          <c:val>
            <c:numRef>
              <c:f>'elektr. Energie'!$E$13:$E$24</c:f>
              <c:numCache/>
            </c:numRef>
          </c:val>
          <c:smooth val="0"/>
        </c:ser>
        <c:ser>
          <c:idx val="1"/>
          <c:order val="1"/>
          <c:tx>
            <c:strRef>
              <c:f>'elektr. Energie'!$G$12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Energie'!$A$13:$A$24</c:f>
              <c:strCache/>
            </c:strRef>
          </c:cat>
          <c:val>
            <c:numRef>
              <c:f>'elektr. Energie'!$G$13:$G$24</c:f>
              <c:numCache/>
            </c:numRef>
          </c:val>
          <c:smooth val="0"/>
        </c:ser>
        <c:marker val="1"/>
        <c:axId val="4593132"/>
        <c:axId val="41338189"/>
      </c:line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38189"/>
        <c:crosses val="autoZero"/>
        <c:auto val="1"/>
        <c:lblOffset val="100"/>
        <c:tickLblSkip val="1"/>
        <c:noMultiLvlLbl val="0"/>
      </c:catAx>
      <c:valAx>
        <c:axId val="4133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5"/>
          <c:y val="0.931"/>
          <c:w val="0.308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75"/>
          <c:y val="0.05625"/>
          <c:w val="0.9722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Trinkwasser!$C$15</c:f>
              <c:strCache>
                <c:ptCount val="1"/>
                <c:pt idx="0">
                  <c:v>1997/2000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Trinkwasser!$A$16:$A$27</c:f>
              <c:strCache/>
            </c:strRef>
          </c:cat>
          <c:val>
            <c:numRef>
              <c:f>Trinkwasser!$C$16:$C$27</c:f>
              <c:numCache/>
            </c:numRef>
          </c:val>
          <c:smooth val="0"/>
        </c:ser>
        <c:ser>
          <c:idx val="1"/>
          <c:order val="1"/>
          <c:tx>
            <c:strRef>
              <c:f>Trinkwasser!$E$15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Trinkwasser!$A$16:$A$27</c:f>
              <c:strCache/>
            </c:strRef>
          </c:cat>
          <c:val>
            <c:numRef>
              <c:f>Trinkwasser!$E$16:$E$27</c:f>
              <c:numCache/>
            </c:numRef>
          </c:val>
          <c:smooth val="0"/>
        </c:ser>
        <c:marker val="1"/>
        <c:axId val="36499382"/>
        <c:axId val="60058983"/>
      </c:lineChart>
      <c:catAx>
        <c:axId val="36499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5"/>
            </c:manualLayout>
          </c:layout>
          <c:overlay val="0"/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9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"/>
          <c:y val="0.9055"/>
          <c:w val="0.323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85725</xdr:rowOff>
    </xdr:from>
    <xdr:to>
      <xdr:col>9</xdr:col>
      <xdr:colOff>552450</xdr:colOff>
      <xdr:row>47</xdr:row>
      <xdr:rowOff>28575</xdr:rowOff>
    </xdr:to>
    <xdr:graphicFrame>
      <xdr:nvGraphicFramePr>
        <xdr:cNvPr id="1" name="Diagramm 1"/>
        <xdr:cNvGraphicFramePr/>
      </xdr:nvGraphicFramePr>
      <xdr:xfrm>
        <a:off x="47625" y="5076825"/>
        <a:ext cx="5562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258</xdr:row>
      <xdr:rowOff>123825</xdr:rowOff>
    </xdr:from>
    <xdr:to>
      <xdr:col>7</xdr:col>
      <xdr:colOff>695325</xdr:colOff>
      <xdr:row>268</xdr:row>
      <xdr:rowOff>47625</xdr:rowOff>
    </xdr:to>
    <xdr:graphicFrame>
      <xdr:nvGraphicFramePr>
        <xdr:cNvPr id="1" name="Diagramm 7"/>
        <xdr:cNvGraphicFramePr/>
      </xdr:nvGraphicFramePr>
      <xdr:xfrm>
        <a:off x="1819275" y="51396900"/>
        <a:ext cx="38671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133350</xdr:rowOff>
    </xdr:from>
    <xdr:to>
      <xdr:col>8</xdr:col>
      <xdr:colOff>390525</xdr:colOff>
      <xdr:row>48</xdr:row>
      <xdr:rowOff>104775</xdr:rowOff>
    </xdr:to>
    <xdr:graphicFrame>
      <xdr:nvGraphicFramePr>
        <xdr:cNvPr id="1" name="Diagramm 2"/>
        <xdr:cNvGraphicFramePr/>
      </xdr:nvGraphicFramePr>
      <xdr:xfrm>
        <a:off x="0" y="4619625"/>
        <a:ext cx="56102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38100</xdr:rowOff>
    </xdr:from>
    <xdr:to>
      <xdr:col>6</xdr:col>
      <xdr:colOff>447675</xdr:colOff>
      <xdr:row>48</xdr:row>
      <xdr:rowOff>28575</xdr:rowOff>
    </xdr:to>
    <xdr:graphicFrame>
      <xdr:nvGraphicFramePr>
        <xdr:cNvPr id="1" name="Diagramm 3"/>
        <xdr:cNvGraphicFramePr/>
      </xdr:nvGraphicFramePr>
      <xdr:xfrm>
        <a:off x="0" y="5181600"/>
        <a:ext cx="52959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23" sqref="I23:J25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384" width="11.57421875" style="2" customWidth="1"/>
  </cols>
  <sheetData>
    <row r="1" ht="15">
      <c r="A1" s="2" t="str">
        <f>+'elektr. Energie'!A1</f>
        <v>Seestadt Immobilien</v>
      </c>
    </row>
    <row r="3" spans="1:5" s="1" customFormat="1" ht="20.25">
      <c r="A3" s="1" t="s">
        <v>0</v>
      </c>
      <c r="E3" s="1" t="str">
        <f>+'[1]Heizenergie'!$E$2</f>
        <v>2019/20</v>
      </c>
    </row>
    <row r="4" spans="1:8" s="1" customFormat="1" ht="20.25">
      <c r="A4" s="9" t="s">
        <v>21</v>
      </c>
      <c r="B4" s="20"/>
      <c r="C4" s="20"/>
      <c r="D4" s="20"/>
      <c r="E4" s="20"/>
      <c r="F4" s="20"/>
      <c r="G4" s="20"/>
      <c r="H4" s="21"/>
    </row>
    <row r="5" s="3" customFormat="1" ht="13.5" thickBot="1">
      <c r="A5" s="5" t="s">
        <v>23</v>
      </c>
    </row>
    <row r="6" spans="1:10" s="3" customFormat="1" ht="15.75" customHeight="1">
      <c r="A6" s="22">
        <v>1</v>
      </c>
      <c r="B6" s="23">
        <v>2</v>
      </c>
      <c r="C6" s="33"/>
      <c r="D6" s="24">
        <v>3</v>
      </c>
      <c r="E6" s="25">
        <v>4</v>
      </c>
      <c r="F6" s="24">
        <v>5</v>
      </c>
      <c r="G6" s="25">
        <v>6</v>
      </c>
      <c r="H6" s="23">
        <v>7</v>
      </c>
      <c r="I6" s="23">
        <v>8</v>
      </c>
      <c r="J6" s="37">
        <v>9</v>
      </c>
    </row>
    <row r="7" spans="1:10" s="3" customFormat="1" ht="12.75">
      <c r="A7" s="16" t="s">
        <v>1</v>
      </c>
      <c r="B7" s="17" t="s">
        <v>2</v>
      </c>
      <c r="C7" s="17" t="s">
        <v>2</v>
      </c>
      <c r="D7" s="19" t="s">
        <v>2</v>
      </c>
      <c r="E7" s="26" t="s">
        <v>2</v>
      </c>
      <c r="F7" s="27" t="s">
        <v>16</v>
      </c>
      <c r="G7" s="26"/>
      <c r="H7" s="28" t="s">
        <v>9</v>
      </c>
      <c r="I7" s="28" t="s">
        <v>9</v>
      </c>
      <c r="J7" s="36" t="s">
        <v>13</v>
      </c>
    </row>
    <row r="8" spans="1:10" s="3" customFormat="1" ht="12.75">
      <c r="A8" s="16"/>
      <c r="B8" s="17" t="s">
        <v>3</v>
      </c>
      <c r="C8" s="17" t="s">
        <v>3</v>
      </c>
      <c r="D8" s="19"/>
      <c r="E8" s="26" t="s">
        <v>8</v>
      </c>
      <c r="F8" s="17" t="s">
        <v>3</v>
      </c>
      <c r="G8" s="26"/>
      <c r="H8" s="28" t="s">
        <v>2</v>
      </c>
      <c r="I8" s="28" t="s">
        <v>2</v>
      </c>
      <c r="J8" s="36" t="s">
        <v>14</v>
      </c>
    </row>
    <row r="9" spans="1:10" s="3" customFormat="1" ht="12.75">
      <c r="A9" s="16"/>
      <c r="B9" s="17"/>
      <c r="C9" s="17" t="s">
        <v>8</v>
      </c>
      <c r="D9" s="19"/>
      <c r="E9" s="26"/>
      <c r="F9" s="17"/>
      <c r="G9" s="26"/>
      <c r="H9" s="28"/>
      <c r="I9" s="28" t="s">
        <v>8</v>
      </c>
      <c r="J9" s="36" t="s">
        <v>15</v>
      </c>
    </row>
    <row r="10" spans="1:10" s="3" customFormat="1" ht="12.75">
      <c r="A10" s="16"/>
      <c r="B10" s="17" t="s">
        <v>4</v>
      </c>
      <c r="C10" s="17" t="s">
        <v>4</v>
      </c>
      <c r="D10" s="19" t="s">
        <v>4</v>
      </c>
      <c r="E10" s="26" t="s">
        <v>4</v>
      </c>
      <c r="F10" s="17"/>
      <c r="G10" s="26"/>
      <c r="H10" s="28" t="s">
        <v>4</v>
      </c>
      <c r="I10" s="28" t="s">
        <v>4</v>
      </c>
      <c r="J10" s="36" t="s">
        <v>4</v>
      </c>
    </row>
    <row r="11" spans="1:10" s="3" customFormat="1" ht="12.75">
      <c r="A11" s="16"/>
      <c r="B11" s="120" t="s">
        <v>36</v>
      </c>
      <c r="C11" s="120" t="s">
        <v>37</v>
      </c>
      <c r="D11" s="19"/>
      <c r="E11" s="26"/>
      <c r="F11" s="17"/>
      <c r="G11" s="26"/>
      <c r="H11" s="28" t="s">
        <v>12</v>
      </c>
      <c r="I11" s="28"/>
      <c r="J11" s="36"/>
    </row>
    <row r="12" spans="1:10" s="3" customFormat="1" ht="12.75">
      <c r="A12" s="16"/>
      <c r="B12" s="73" t="s">
        <v>61</v>
      </c>
      <c r="C12" s="73" t="s">
        <v>60</v>
      </c>
      <c r="D12" s="19"/>
      <c r="E12" s="26"/>
      <c r="F12" s="17"/>
      <c r="G12" s="26"/>
      <c r="H12" s="91"/>
      <c r="I12" s="28"/>
      <c r="J12" s="36"/>
    </row>
    <row r="13" spans="1:10" s="3" customFormat="1" ht="12.75">
      <c r="A13" s="16"/>
      <c r="B13" s="96" t="s">
        <v>61</v>
      </c>
      <c r="C13" s="96" t="s">
        <v>65</v>
      </c>
      <c r="D13" s="19"/>
      <c r="E13" s="26"/>
      <c r="F13" s="17"/>
      <c r="G13" s="26"/>
      <c r="H13" s="91"/>
      <c r="I13" s="28"/>
      <c r="J13" s="36"/>
    </row>
    <row r="14" spans="1:10" s="3" customFormat="1" ht="12.75">
      <c r="A14" s="16"/>
      <c r="B14" s="97" t="s">
        <v>68</v>
      </c>
      <c r="C14" s="97" t="s">
        <v>69</v>
      </c>
      <c r="D14" s="19"/>
      <c r="E14" s="26"/>
      <c r="F14" s="17"/>
      <c r="G14" s="26"/>
      <c r="H14" s="91"/>
      <c r="I14" s="28"/>
      <c r="J14" s="36"/>
    </row>
    <row r="15" spans="1:10" s="3" customFormat="1" ht="12.75">
      <c r="A15" s="16"/>
      <c r="B15" s="121" t="s">
        <v>76</v>
      </c>
      <c r="C15" s="121" t="s">
        <v>77</v>
      </c>
      <c r="D15" s="19"/>
      <c r="E15" s="26"/>
      <c r="F15" s="17"/>
      <c r="G15" s="26"/>
      <c r="H15" s="91"/>
      <c r="I15" s="28"/>
      <c r="J15" s="36"/>
    </row>
    <row r="16" spans="1:10" s="3" customFormat="1" ht="13.5" thickBot="1">
      <c r="A16" s="16"/>
      <c r="B16" s="17" t="s">
        <v>18</v>
      </c>
      <c r="C16" s="17" t="s">
        <v>19</v>
      </c>
      <c r="D16" s="19" t="str">
        <f>+E3</f>
        <v>2019/20</v>
      </c>
      <c r="E16" s="26" t="str">
        <f>+D16</f>
        <v>2019/20</v>
      </c>
      <c r="F16" s="17" t="s">
        <v>20</v>
      </c>
      <c r="G16" s="100" t="s">
        <v>59</v>
      </c>
      <c r="H16" s="19" t="str">
        <f>+E16</f>
        <v>2019/20</v>
      </c>
      <c r="I16" s="28" t="str">
        <f>+H16</f>
        <v>2019/20</v>
      </c>
      <c r="J16" s="41" t="str">
        <f>+I16</f>
        <v>2019/20</v>
      </c>
    </row>
    <row r="17" spans="1:10" s="3" customFormat="1" ht="12.75">
      <c r="A17" s="102" t="s">
        <v>24</v>
      </c>
      <c r="B17" s="86">
        <v>9023.274634237501</v>
      </c>
      <c r="C17" s="86">
        <f>+B17</f>
        <v>9023.274634237501</v>
      </c>
      <c r="D17" s="87">
        <v>2000</v>
      </c>
      <c r="E17" s="86">
        <f>+D17</f>
        <v>2000</v>
      </c>
      <c r="F17" s="86">
        <v>24</v>
      </c>
      <c r="G17" s="103">
        <f>+IF(D17=0,"",F17)</f>
        <v>24</v>
      </c>
      <c r="H17" s="86">
        <f aca="true" t="shared" si="0" ref="H17:H23">(IF(D17=0,"",+D17/G17*F17))</f>
        <v>2000</v>
      </c>
      <c r="I17" s="86">
        <f>+H17</f>
        <v>2000</v>
      </c>
      <c r="J17" s="104">
        <f aca="true" t="shared" si="1" ref="J17:J22">+H17-B17</f>
        <v>-7023.274634237501</v>
      </c>
    </row>
    <row r="18" spans="1:10" s="3" customFormat="1" ht="12.75">
      <c r="A18" s="105" t="s">
        <v>25</v>
      </c>
      <c r="B18" s="85">
        <v>12874.31501872425</v>
      </c>
      <c r="C18" s="85">
        <f>+C17+B18</f>
        <v>21897.589652961753</v>
      </c>
      <c r="D18" s="93">
        <v>17000</v>
      </c>
      <c r="E18" s="85">
        <f aca="true" t="shared" si="2" ref="E18:E28">+E17+D18</f>
        <v>19000</v>
      </c>
      <c r="F18" s="85">
        <v>90</v>
      </c>
      <c r="G18" s="101">
        <f>+IF(D18=0,"",'[2]Tabelle1'!$B$4)</f>
        <v>145</v>
      </c>
      <c r="H18" s="85">
        <f t="shared" si="0"/>
        <v>10551.724137931034</v>
      </c>
      <c r="I18" s="85">
        <f aca="true" t="shared" si="3" ref="I18:I23">+I17+H18</f>
        <v>12551.724137931034</v>
      </c>
      <c r="J18" s="106">
        <f t="shared" si="1"/>
        <v>-2322.5908807932155</v>
      </c>
    </row>
    <row r="19" spans="1:10" s="3" customFormat="1" ht="12.75">
      <c r="A19" s="105" t="s">
        <v>26</v>
      </c>
      <c r="B19" s="85">
        <v>49034.00598839925</v>
      </c>
      <c r="C19" s="85">
        <f aca="true" t="shared" si="4" ref="C19:C27">+C18+B19</f>
        <v>70931.595641361</v>
      </c>
      <c r="D19" s="93">
        <v>36000</v>
      </c>
      <c r="E19" s="85">
        <f t="shared" si="2"/>
        <v>55000</v>
      </c>
      <c r="F19" s="85">
        <v>314</v>
      </c>
      <c r="G19" s="101">
        <f>+IF(D19=0,"",'[2]Tabelle1'!$B$5)</f>
        <v>264</v>
      </c>
      <c r="H19" s="85">
        <f t="shared" si="0"/>
        <v>42818.18181818182</v>
      </c>
      <c r="I19" s="85">
        <f t="shared" si="3"/>
        <v>55369.90595611286</v>
      </c>
      <c r="J19" s="106">
        <f t="shared" si="1"/>
        <v>-6215.824170217427</v>
      </c>
    </row>
    <row r="20" spans="1:10" s="3" customFormat="1" ht="12.75">
      <c r="A20" s="105" t="s">
        <v>27</v>
      </c>
      <c r="B20" s="85">
        <v>83040.763608075</v>
      </c>
      <c r="C20" s="85">
        <f t="shared" si="4"/>
        <v>153972.359249436</v>
      </c>
      <c r="D20" s="93">
        <v>79000</v>
      </c>
      <c r="E20" s="85">
        <f t="shared" si="2"/>
        <v>134000</v>
      </c>
      <c r="F20" s="85">
        <v>462</v>
      </c>
      <c r="G20" s="101">
        <f>+IF(D20=0,"",'[2]Tabelle1'!$B$6)</f>
        <v>412</v>
      </c>
      <c r="H20" s="85">
        <f t="shared" si="0"/>
        <v>88587.37864077669</v>
      </c>
      <c r="I20" s="85">
        <f t="shared" si="3"/>
        <v>143957.28459688954</v>
      </c>
      <c r="J20" s="106">
        <f t="shared" si="1"/>
        <v>5546.615032701695</v>
      </c>
    </row>
    <row r="21" spans="1:10" s="3" customFormat="1" ht="12.75">
      <c r="A21" s="105" t="s">
        <v>28</v>
      </c>
      <c r="B21" s="85">
        <v>90192.79088274001</v>
      </c>
      <c r="C21" s="85">
        <f t="shared" si="4"/>
        <v>244165.150132176</v>
      </c>
      <c r="D21" s="93">
        <v>83000</v>
      </c>
      <c r="E21" s="85">
        <f t="shared" si="2"/>
        <v>217000</v>
      </c>
      <c r="F21" s="85">
        <v>516</v>
      </c>
      <c r="G21" s="101">
        <f>+IF(D21=0,"",'[2]Tabelle1'!$B$7)</f>
        <v>448</v>
      </c>
      <c r="H21" s="85">
        <f t="shared" si="0"/>
        <v>95598.21428571429</v>
      </c>
      <c r="I21" s="85">
        <f t="shared" si="3"/>
        <v>239555.49888260383</v>
      </c>
      <c r="J21" s="106">
        <f t="shared" si="1"/>
        <v>5405.42340297428</v>
      </c>
    </row>
    <row r="22" spans="1:10" s="3" customFormat="1" ht="12.75">
      <c r="A22" s="105" t="s">
        <v>29</v>
      </c>
      <c r="B22" s="85">
        <v>90365.931207825</v>
      </c>
      <c r="C22" s="85">
        <f t="shared" si="4"/>
        <v>334531.08134000096</v>
      </c>
      <c r="D22" s="93">
        <v>107000</v>
      </c>
      <c r="E22" s="85">
        <f t="shared" si="2"/>
        <v>324000</v>
      </c>
      <c r="F22" s="85">
        <v>489</v>
      </c>
      <c r="G22" s="101">
        <f>+IF(D22=0,"",'[2]Tabelle1'!$B$8)</f>
        <v>450</v>
      </c>
      <c r="H22" s="85">
        <f t="shared" si="0"/>
        <v>116273.33333333333</v>
      </c>
      <c r="I22" s="85">
        <f t="shared" si="3"/>
        <v>355828.83221593715</v>
      </c>
      <c r="J22" s="106">
        <f t="shared" si="1"/>
        <v>25907.402125508335</v>
      </c>
    </row>
    <row r="23" spans="1:10" s="3" customFormat="1" ht="12.75">
      <c r="A23" s="105" t="s">
        <v>30</v>
      </c>
      <c r="B23" s="85">
        <v>80798.59639822425</v>
      </c>
      <c r="C23" s="85">
        <f t="shared" si="4"/>
        <v>415329.6777382252</v>
      </c>
      <c r="D23" s="93">
        <v>56000</v>
      </c>
      <c r="E23" s="85">
        <f t="shared" si="2"/>
        <v>380000</v>
      </c>
      <c r="F23" s="85">
        <v>436</v>
      </c>
      <c r="G23" s="101">
        <f>+IF(D23=0,"",'[2]Tabelle1'!$B$9)</f>
        <v>406</v>
      </c>
      <c r="H23" s="85">
        <f t="shared" si="0"/>
        <v>60137.93103448276</v>
      </c>
      <c r="I23" s="85">
        <f t="shared" si="3"/>
        <v>415966.7632504199</v>
      </c>
      <c r="J23" s="106">
        <f>+H23-B23</f>
        <v>-20660.665363741493</v>
      </c>
    </row>
    <row r="24" spans="1:10" s="3" customFormat="1" ht="12.75">
      <c r="A24" s="105" t="s">
        <v>31</v>
      </c>
      <c r="B24" s="85">
        <v>67125.17218680002</v>
      </c>
      <c r="C24" s="85">
        <f t="shared" si="4"/>
        <v>482454.84992502525</v>
      </c>
      <c r="D24" s="93">
        <v>67000</v>
      </c>
      <c r="E24" s="85">
        <f t="shared" si="2"/>
        <v>447000</v>
      </c>
      <c r="F24" s="85">
        <v>424</v>
      </c>
      <c r="G24" s="101">
        <f>+IF(D24=0,"",'[2]Tabelle1'!$B$10)</f>
        <v>426</v>
      </c>
      <c r="H24" s="85">
        <f>(IF(D24=0,"",+D24/G24*F24))</f>
        <v>66685.44600938968</v>
      </c>
      <c r="I24" s="85">
        <f>+I23+H24</f>
        <v>482652.2092598096</v>
      </c>
      <c r="J24" s="106">
        <f>+H24-B24</f>
        <v>-439.726177410339</v>
      </c>
    </row>
    <row r="25" spans="1:10" s="3" customFormat="1" ht="12.75">
      <c r="A25" s="105" t="s">
        <v>32</v>
      </c>
      <c r="B25" s="85">
        <v>47558.31767921324</v>
      </c>
      <c r="C25" s="85">
        <f t="shared" si="4"/>
        <v>530013.1676042385</v>
      </c>
      <c r="D25" s="93">
        <v>48000</v>
      </c>
      <c r="E25" s="85">
        <f t="shared" si="2"/>
        <v>495000</v>
      </c>
      <c r="F25" s="85">
        <v>316</v>
      </c>
      <c r="G25" s="101">
        <f>+IF(D25=0,"",'[2]Tabelle1'!$B$11)</f>
        <v>311</v>
      </c>
      <c r="H25" s="85">
        <f>(IF(D25=0,"",+D25/G25*F25))</f>
        <v>48771.704180064306</v>
      </c>
      <c r="I25" s="85">
        <f>+I24+H25</f>
        <v>531423.9134398738</v>
      </c>
      <c r="J25" s="106">
        <f>+H25-B25</f>
        <v>1213.386500851062</v>
      </c>
    </row>
    <row r="26" spans="1:10" s="3" customFormat="1" ht="12.75">
      <c r="A26" s="105" t="s">
        <v>33</v>
      </c>
      <c r="B26" s="85">
        <v>23225.442761498252</v>
      </c>
      <c r="C26" s="85">
        <f t="shared" si="4"/>
        <v>553238.6103657368</v>
      </c>
      <c r="D26" s="93"/>
      <c r="E26" s="85">
        <f t="shared" si="2"/>
        <v>495000</v>
      </c>
      <c r="F26" s="85">
        <v>159</v>
      </c>
      <c r="G26" s="101">
        <f>+IF(D26=0,"",'[2]Tabelle1'!$B$12)</f>
      </c>
      <c r="H26" s="85">
        <f>(IF(D26=0,"",+D26/G26*F26))</f>
      </c>
      <c r="I26" s="85"/>
      <c r="J26" s="106"/>
    </row>
    <row r="27" spans="1:10" s="3" customFormat="1" ht="12.75">
      <c r="A27" s="105" t="s">
        <v>34</v>
      </c>
      <c r="B27" s="85">
        <v>18281.62055599425</v>
      </c>
      <c r="C27" s="85">
        <f t="shared" si="4"/>
        <v>571520.230921731</v>
      </c>
      <c r="D27" s="93"/>
      <c r="E27" s="85">
        <f t="shared" si="2"/>
        <v>495000</v>
      </c>
      <c r="F27" s="85">
        <v>82</v>
      </c>
      <c r="G27" s="101"/>
      <c r="H27" s="85">
        <f>(IF(D27=0,"",+D27/G27*F27))</f>
      </c>
      <c r="I27" s="85"/>
      <c r="J27" s="106"/>
    </row>
    <row r="28" spans="1:10" s="3" customFormat="1" ht="13.5" thickBot="1">
      <c r="A28" s="107" t="s">
        <v>35</v>
      </c>
      <c r="B28" s="90">
        <v>17498.49354714825</v>
      </c>
      <c r="C28" s="90">
        <f>+C27+B28</f>
        <v>589018.7244688793</v>
      </c>
      <c r="D28" s="98"/>
      <c r="E28" s="90">
        <f t="shared" si="2"/>
        <v>495000</v>
      </c>
      <c r="F28" s="90">
        <v>49</v>
      </c>
      <c r="G28" s="108">
        <f>+IF(D28=0,"",F28)</f>
      </c>
      <c r="H28" s="90">
        <f>(IF(D28=0,"",+D28/G28*F28))</f>
      </c>
      <c r="I28" s="90"/>
      <c r="J28" s="123"/>
    </row>
    <row r="29" spans="2:10" s="3" customFormat="1" ht="13.5" thickBot="1">
      <c r="B29" s="4"/>
      <c r="C29" s="4"/>
      <c r="D29" s="4"/>
      <c r="E29" s="4"/>
      <c r="F29" s="4"/>
      <c r="G29" s="4"/>
      <c r="H29" s="4"/>
      <c r="I29" s="38" t="s">
        <v>17</v>
      </c>
      <c r="J29" s="39">
        <f>+SUM(J17:J28)</f>
        <v>1410.7458356353964</v>
      </c>
    </row>
    <row r="30" spans="2:12" s="3" customFormat="1" ht="13.5" thickTop="1">
      <c r="B30" s="4"/>
      <c r="C30" s="4"/>
      <c r="D30" s="4"/>
      <c r="E30" s="4"/>
      <c r="F30" s="4"/>
      <c r="G30" s="4"/>
      <c r="H30" s="4"/>
      <c r="I30" s="4"/>
      <c r="L30" s="4"/>
    </row>
    <row r="31" spans="2:9" s="3" customFormat="1" ht="12.75">
      <c r="B31" s="4"/>
      <c r="C31" s="4"/>
      <c r="D31" s="4"/>
      <c r="E31" s="4"/>
      <c r="F31" s="4"/>
      <c r="G31" s="4"/>
      <c r="H31" s="4"/>
      <c r="I31" s="4"/>
    </row>
    <row r="32" s="3" customFormat="1" ht="12.75"/>
    <row r="33" spans="11:13" ht="15">
      <c r="K33" s="3"/>
      <c r="L33" s="3"/>
      <c r="M33" s="3"/>
    </row>
    <row r="34" spans="11:13" ht="15">
      <c r="K34" s="3"/>
      <c r="L34" s="3"/>
      <c r="M34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pane ySplit="7" topLeftCell="A183" activePane="bottomLeft" state="frozen"/>
      <selection pane="topLeft" activeCell="A1" sqref="A1"/>
      <selection pane="bottomLeft" activeCell="G209" sqref="G209:H209"/>
    </sheetView>
  </sheetViews>
  <sheetFormatPr defaultColWidth="11.57421875" defaultRowHeight="12.75"/>
  <cols>
    <col min="1" max="1" width="9.28125" style="43" customWidth="1"/>
    <col min="2" max="2" width="11.140625" style="43" customWidth="1"/>
    <col min="3" max="3" width="10.7109375" style="43" customWidth="1"/>
    <col min="4" max="4" width="11.421875" style="43" bestFit="1" customWidth="1"/>
    <col min="5" max="6" width="11.00390625" style="43" bestFit="1" customWidth="1"/>
    <col min="7" max="7" width="10.28125" style="43" bestFit="1" customWidth="1"/>
    <col min="8" max="8" width="13.28125" style="43" bestFit="1" customWidth="1"/>
    <col min="9" max="16384" width="11.57421875" style="42" customWidth="1"/>
  </cols>
  <sheetData>
    <row r="1" ht="15">
      <c r="A1" s="72" t="s">
        <v>2</v>
      </c>
    </row>
    <row r="2" spans="1:8" ht="18">
      <c r="A2" s="72" t="s">
        <v>39</v>
      </c>
      <c r="D2" s="124" t="s">
        <v>67</v>
      </c>
      <c r="E2" s="124"/>
      <c r="F2" s="124"/>
      <c r="G2" s="124"/>
      <c r="H2" s="124"/>
    </row>
    <row r="3" ht="15" customHeight="1" thickBot="1"/>
    <row r="4" spans="1:8" ht="15">
      <c r="A4" s="44"/>
      <c r="B4" s="49" t="s">
        <v>41</v>
      </c>
      <c r="C4" s="49" t="s">
        <v>41</v>
      </c>
      <c r="D4" s="51" t="s">
        <v>42</v>
      </c>
      <c r="E4" s="51" t="s">
        <v>42</v>
      </c>
      <c r="F4" s="56" t="s">
        <v>43</v>
      </c>
      <c r="G4" s="57" t="s">
        <v>43</v>
      </c>
      <c r="H4" s="58" t="s">
        <v>48</v>
      </c>
    </row>
    <row r="5" spans="1:8" ht="15">
      <c r="A5" s="45"/>
      <c r="B5" s="50"/>
      <c r="C5" s="50"/>
      <c r="D5" s="52"/>
      <c r="E5" s="52"/>
      <c r="F5" s="53" t="s">
        <v>46</v>
      </c>
      <c r="G5" s="54" t="s">
        <v>47</v>
      </c>
      <c r="H5" s="55" t="s">
        <v>41</v>
      </c>
    </row>
    <row r="6" spans="1:8" ht="15">
      <c r="A6" s="45"/>
      <c r="B6" s="50"/>
      <c r="C6" s="50"/>
      <c r="D6" s="52"/>
      <c r="E6" s="52"/>
      <c r="F6" s="53" t="s">
        <v>45</v>
      </c>
      <c r="G6" s="54" t="s">
        <v>55</v>
      </c>
      <c r="H6" s="55" t="s">
        <v>49</v>
      </c>
    </row>
    <row r="7" spans="1:8" ht="15">
      <c r="A7" s="45" t="s">
        <v>1</v>
      </c>
      <c r="B7" s="50" t="s">
        <v>40</v>
      </c>
      <c r="C7" s="50" t="s">
        <v>2</v>
      </c>
      <c r="D7" s="52" t="s">
        <v>40</v>
      </c>
      <c r="E7" s="52" t="s">
        <v>2</v>
      </c>
      <c r="F7" s="53" t="s">
        <v>2</v>
      </c>
      <c r="G7" s="54"/>
      <c r="H7" s="55" t="s">
        <v>50</v>
      </c>
    </row>
    <row r="8" spans="1:8" ht="15.75" thickBot="1">
      <c r="A8" s="45"/>
      <c r="B8" s="50" t="s">
        <v>4</v>
      </c>
      <c r="C8" s="50" t="s">
        <v>4</v>
      </c>
      <c r="D8" s="52" t="s">
        <v>4</v>
      </c>
      <c r="E8" s="52" t="s">
        <v>4</v>
      </c>
      <c r="F8" s="53" t="s">
        <v>4</v>
      </c>
      <c r="G8" s="54" t="s">
        <v>4</v>
      </c>
      <c r="H8" s="55" t="s">
        <v>44</v>
      </c>
    </row>
    <row r="9" spans="1:8" ht="15.75">
      <c r="A9" s="46">
        <v>37834</v>
      </c>
      <c r="B9" s="59">
        <v>61877</v>
      </c>
      <c r="C9" s="59"/>
      <c r="D9" s="60">
        <v>80125</v>
      </c>
      <c r="E9" s="60"/>
      <c r="F9" s="61">
        <f>20*(123+62)</f>
        <v>3700</v>
      </c>
      <c r="G9" s="62"/>
      <c r="H9" s="63"/>
    </row>
    <row r="10" spans="1:8" ht="15.75">
      <c r="A10" s="47">
        <v>37865</v>
      </c>
      <c r="B10" s="64">
        <v>64616</v>
      </c>
      <c r="C10" s="64">
        <f>+B10-B9</f>
        <v>2739</v>
      </c>
      <c r="D10" s="65">
        <v>80330</v>
      </c>
      <c r="E10" s="65">
        <f>+D10-D9</f>
        <v>205</v>
      </c>
      <c r="F10" s="66">
        <f>20*(183+60)</f>
        <v>4860</v>
      </c>
      <c r="G10" s="67">
        <f>+F10-C10-E10</f>
        <v>1916</v>
      </c>
      <c r="H10" s="68">
        <f>+C10/F10</f>
        <v>0.5635802469135802</v>
      </c>
    </row>
    <row r="11" spans="1:8" ht="15.75">
      <c r="A11" s="47">
        <v>37895</v>
      </c>
      <c r="B11" s="64">
        <v>67572</v>
      </c>
      <c r="C11" s="64">
        <f aca="true" t="shared" si="0" ref="C11:E25">+B11-B10</f>
        <v>2956</v>
      </c>
      <c r="D11" s="65">
        <v>80535</v>
      </c>
      <c r="E11" s="65">
        <f t="shared" si="0"/>
        <v>205</v>
      </c>
      <c r="F11" s="66">
        <v>5300</v>
      </c>
      <c r="G11" s="67">
        <f aca="true" t="shared" si="1" ref="G11:G32">+F11-C11-E11</f>
        <v>2139</v>
      </c>
      <c r="H11" s="68">
        <f aca="true" t="shared" si="2" ref="H11:H23">+C11/F11</f>
        <v>0.5577358490566038</v>
      </c>
    </row>
    <row r="12" spans="1:8" ht="15.75">
      <c r="A12" s="47">
        <v>37926</v>
      </c>
      <c r="B12" s="64">
        <v>70320</v>
      </c>
      <c r="C12" s="64">
        <f t="shared" si="0"/>
        <v>2748</v>
      </c>
      <c r="D12" s="65">
        <v>80808</v>
      </c>
      <c r="E12" s="65">
        <f t="shared" si="0"/>
        <v>273</v>
      </c>
      <c r="F12" s="66">
        <f>20*(225+70)</f>
        <v>5900</v>
      </c>
      <c r="G12" s="67">
        <f t="shared" si="1"/>
        <v>2879</v>
      </c>
      <c r="H12" s="68">
        <f t="shared" si="2"/>
        <v>0.46576271186440676</v>
      </c>
    </row>
    <row r="13" spans="1:8" ht="15.75">
      <c r="A13" s="47">
        <v>37956</v>
      </c>
      <c r="B13" s="64">
        <v>73170</v>
      </c>
      <c r="C13" s="64">
        <f t="shared" si="0"/>
        <v>2850</v>
      </c>
      <c r="D13" s="65">
        <v>81180</v>
      </c>
      <c r="E13" s="65">
        <f t="shared" si="0"/>
        <v>372</v>
      </c>
      <c r="F13" s="66">
        <v>5880</v>
      </c>
      <c r="G13" s="67">
        <f t="shared" si="1"/>
        <v>2658</v>
      </c>
      <c r="H13" s="68">
        <f t="shared" si="2"/>
        <v>0.4846938775510204</v>
      </c>
    </row>
    <row r="14" spans="1:8" ht="15.75">
      <c r="A14" s="47">
        <v>37987</v>
      </c>
      <c r="B14" s="64">
        <v>75720</v>
      </c>
      <c r="C14" s="64">
        <f>+B14-B13</f>
        <v>2550</v>
      </c>
      <c r="D14" s="65">
        <v>81327</v>
      </c>
      <c r="E14" s="65">
        <f>+D14-D13</f>
        <v>147</v>
      </c>
      <c r="F14" s="66">
        <f>20*(213+70)</f>
        <v>5660</v>
      </c>
      <c r="G14" s="67">
        <f t="shared" si="1"/>
        <v>2963</v>
      </c>
      <c r="H14" s="68">
        <f t="shared" si="2"/>
        <v>0.450530035335689</v>
      </c>
    </row>
    <row r="15" spans="1:8" ht="15.75">
      <c r="A15" s="47">
        <v>38018</v>
      </c>
      <c r="B15" s="64">
        <v>78328</v>
      </c>
      <c r="C15" s="64">
        <f t="shared" si="0"/>
        <v>2608</v>
      </c>
      <c r="D15" s="65">
        <v>81538</v>
      </c>
      <c r="E15" s="65">
        <f t="shared" si="0"/>
        <v>211</v>
      </c>
      <c r="F15" s="66">
        <f>20*(206+69)</f>
        <v>5500</v>
      </c>
      <c r="G15" s="67">
        <f t="shared" si="1"/>
        <v>2681</v>
      </c>
      <c r="H15" s="68">
        <f t="shared" si="2"/>
        <v>0.4741818181818182</v>
      </c>
    </row>
    <row r="16" spans="1:8" ht="15.75">
      <c r="A16" s="47">
        <v>38047</v>
      </c>
      <c r="B16" s="64">
        <v>78328</v>
      </c>
      <c r="C16" s="64">
        <v>2688</v>
      </c>
      <c r="D16" s="65">
        <v>81538</v>
      </c>
      <c r="E16" s="65">
        <f t="shared" si="0"/>
        <v>0</v>
      </c>
      <c r="F16" s="66">
        <f>3028+940</f>
        <v>3968</v>
      </c>
      <c r="G16" s="67">
        <f t="shared" si="1"/>
        <v>1280</v>
      </c>
      <c r="H16" s="68">
        <f t="shared" si="2"/>
        <v>0.6774193548387096</v>
      </c>
    </row>
    <row r="17" spans="1:8" ht="15.75">
      <c r="A17" s="47">
        <v>38078</v>
      </c>
      <c r="B17" s="64">
        <v>83704</v>
      </c>
      <c r="C17" s="64">
        <v>2688</v>
      </c>
      <c r="D17" s="65">
        <v>81933</v>
      </c>
      <c r="E17" s="65">
        <f t="shared" si="0"/>
        <v>395</v>
      </c>
      <c r="F17" s="66">
        <f>20*(133+64)</f>
        <v>3940</v>
      </c>
      <c r="G17" s="67">
        <f t="shared" si="1"/>
        <v>857</v>
      </c>
      <c r="H17" s="68">
        <f t="shared" si="2"/>
        <v>0.682233502538071</v>
      </c>
    </row>
    <row r="18" spans="1:8" ht="15.75">
      <c r="A18" s="47">
        <v>38108</v>
      </c>
      <c r="B18" s="64">
        <v>86311</v>
      </c>
      <c r="C18" s="64">
        <f t="shared" si="0"/>
        <v>2607</v>
      </c>
      <c r="D18" s="65">
        <v>82149</v>
      </c>
      <c r="E18" s="65">
        <f t="shared" si="0"/>
        <v>216</v>
      </c>
      <c r="F18" s="66">
        <f>20*(167+71)</f>
        <v>4760</v>
      </c>
      <c r="G18" s="67">
        <f t="shared" si="1"/>
        <v>1937</v>
      </c>
      <c r="H18" s="68">
        <f t="shared" si="2"/>
        <v>0.5476890756302522</v>
      </c>
    </row>
    <row r="19" spans="1:16" ht="15.75">
      <c r="A19" s="47">
        <v>38139</v>
      </c>
      <c r="B19" s="64">
        <v>89294</v>
      </c>
      <c r="C19" s="64">
        <f t="shared" si="0"/>
        <v>2983</v>
      </c>
      <c r="D19" s="65">
        <v>82341</v>
      </c>
      <c r="E19" s="65">
        <f t="shared" si="0"/>
        <v>192</v>
      </c>
      <c r="F19" s="66">
        <f>20*(186+79)</f>
        <v>5300</v>
      </c>
      <c r="G19" s="67">
        <f t="shared" si="1"/>
        <v>2125</v>
      </c>
      <c r="H19" s="68">
        <f t="shared" si="2"/>
        <v>0.5628301886792453</v>
      </c>
      <c r="I19" s="42">
        <v>2004</v>
      </c>
      <c r="J19" s="42">
        <f>+I19+1</f>
        <v>2005</v>
      </c>
      <c r="K19" s="42">
        <v>2006</v>
      </c>
      <c r="L19" s="42">
        <v>2007</v>
      </c>
      <c r="M19" s="42">
        <v>2008</v>
      </c>
      <c r="N19" s="42">
        <v>2009</v>
      </c>
      <c r="O19" s="42">
        <v>2010</v>
      </c>
      <c r="P19" s="42">
        <v>2011</v>
      </c>
    </row>
    <row r="20" spans="1:16" ht="15.75">
      <c r="A20" s="47">
        <v>38169</v>
      </c>
      <c r="B20" s="64">
        <v>95260</v>
      </c>
      <c r="C20" s="64">
        <v>2966</v>
      </c>
      <c r="D20" s="65">
        <v>82692</v>
      </c>
      <c r="E20" s="65">
        <f t="shared" si="0"/>
        <v>351</v>
      </c>
      <c r="F20" s="66">
        <v>3736</v>
      </c>
      <c r="G20" s="67">
        <f t="shared" si="1"/>
        <v>419</v>
      </c>
      <c r="H20" s="68">
        <f t="shared" si="2"/>
        <v>0.7938972162740899</v>
      </c>
      <c r="I20" s="95">
        <f>SUM(G9:G20)</f>
        <v>21854</v>
      </c>
      <c r="J20" s="95">
        <f>+I32</f>
        <v>24926</v>
      </c>
      <c r="K20" s="95">
        <f>+I44</f>
        <v>23588</v>
      </c>
      <c r="L20" s="95">
        <f>+I57</f>
        <v>21193</v>
      </c>
      <c r="M20" s="95">
        <f>+I68</f>
        <v>21259</v>
      </c>
      <c r="N20" s="95">
        <f>+I80</f>
        <v>23718</v>
      </c>
      <c r="O20" s="95">
        <f>+I94</f>
        <v>27131</v>
      </c>
      <c r="P20" s="95">
        <f>+I106</f>
        <v>29641</v>
      </c>
    </row>
    <row r="21" spans="1:8" ht="15.75">
      <c r="A21" s="47">
        <v>38200</v>
      </c>
      <c r="B21" s="64">
        <v>95260</v>
      </c>
      <c r="C21" s="64">
        <v>3000</v>
      </c>
      <c r="D21" s="65">
        <v>82692</v>
      </c>
      <c r="E21" s="65">
        <f t="shared" si="0"/>
        <v>0</v>
      </c>
      <c r="F21" s="66">
        <v>4398</v>
      </c>
      <c r="G21" s="67">
        <f t="shared" si="1"/>
        <v>1398</v>
      </c>
      <c r="H21" s="68">
        <f t="shared" si="2"/>
        <v>0.6821282401091405</v>
      </c>
    </row>
    <row r="22" spans="1:8" ht="15.75">
      <c r="A22" s="47">
        <v>38231</v>
      </c>
      <c r="B22" s="64">
        <v>98479</v>
      </c>
      <c r="C22" s="64">
        <f t="shared" si="0"/>
        <v>3219</v>
      </c>
      <c r="D22" s="65">
        <v>82927</v>
      </c>
      <c r="E22" s="65">
        <f t="shared" si="0"/>
        <v>235</v>
      </c>
      <c r="F22" s="66">
        <f>20*(199+81)</f>
        <v>5600</v>
      </c>
      <c r="G22" s="67">
        <f t="shared" si="1"/>
        <v>2146</v>
      </c>
      <c r="H22" s="68">
        <f t="shared" si="2"/>
        <v>0.5748214285714286</v>
      </c>
    </row>
    <row r="23" spans="1:8" ht="15.75">
      <c r="A23" s="47">
        <v>38261</v>
      </c>
      <c r="B23" s="64">
        <v>101269</v>
      </c>
      <c r="C23" s="64">
        <f t="shared" si="0"/>
        <v>2790</v>
      </c>
      <c r="D23" s="65">
        <v>83123</v>
      </c>
      <c r="E23" s="65">
        <f t="shared" si="0"/>
        <v>196</v>
      </c>
      <c r="F23" s="66">
        <f>20*(166+69)</f>
        <v>4700</v>
      </c>
      <c r="G23" s="67">
        <f t="shared" si="1"/>
        <v>1714</v>
      </c>
      <c r="H23" s="68">
        <f t="shared" si="2"/>
        <v>0.5936170212765958</v>
      </c>
    </row>
    <row r="24" spans="1:8" ht="15.75">
      <c r="A24" s="47">
        <v>38292</v>
      </c>
      <c r="B24" s="64">
        <v>105001</v>
      </c>
      <c r="C24" s="64">
        <f t="shared" si="0"/>
        <v>3732</v>
      </c>
      <c r="D24" s="65">
        <v>83414</v>
      </c>
      <c r="E24" s="65">
        <f t="shared" si="0"/>
        <v>291</v>
      </c>
      <c r="F24" s="66">
        <f>20*(271+97)</f>
        <v>7360</v>
      </c>
      <c r="G24" s="67">
        <f t="shared" si="1"/>
        <v>3337</v>
      </c>
      <c r="H24" s="68">
        <f>+C24/F24</f>
        <v>0.5070652173913044</v>
      </c>
    </row>
    <row r="25" spans="1:8" ht="16.5" thickBot="1">
      <c r="A25" s="48">
        <v>38322</v>
      </c>
      <c r="B25" s="69">
        <v>108514</v>
      </c>
      <c r="C25" s="69">
        <f t="shared" si="0"/>
        <v>3513</v>
      </c>
      <c r="D25" s="70">
        <v>83650</v>
      </c>
      <c r="E25" s="70">
        <f t="shared" si="0"/>
        <v>236</v>
      </c>
      <c r="F25" s="71">
        <f>20*(230+94)</f>
        <v>6480</v>
      </c>
      <c r="G25" s="76">
        <f t="shared" si="1"/>
        <v>2731</v>
      </c>
      <c r="H25" s="77">
        <f>+C25/F25</f>
        <v>0.5421296296296296</v>
      </c>
    </row>
    <row r="26" spans="1:8" ht="15.75">
      <c r="A26" s="47">
        <v>38353</v>
      </c>
      <c r="B26" s="78">
        <v>111569</v>
      </c>
      <c r="C26" s="78">
        <f>+B26-B25</f>
        <v>3055</v>
      </c>
      <c r="D26" s="79">
        <v>83873</v>
      </c>
      <c r="E26" s="79">
        <f>+D26-D25</f>
        <v>223</v>
      </c>
      <c r="F26" s="80">
        <f>20*(213+70)</f>
        <v>5660</v>
      </c>
      <c r="G26" s="81">
        <f t="shared" si="1"/>
        <v>2382</v>
      </c>
      <c r="H26" s="82">
        <f aca="true" t="shared" si="3" ref="H26:H31">+C26/F26</f>
        <v>0.5397526501766784</v>
      </c>
    </row>
    <row r="27" spans="1:8" ht="15.75">
      <c r="A27" s="47">
        <v>38384</v>
      </c>
      <c r="B27" s="64">
        <v>114510</v>
      </c>
      <c r="C27" s="64">
        <f aca="true" t="shared" si="4" ref="C27:C34">+B27-B26</f>
        <v>2941</v>
      </c>
      <c r="D27" s="65">
        <v>84082</v>
      </c>
      <c r="E27" s="65">
        <f aca="true" t="shared" si="5" ref="E27:E34">+D27-D26</f>
        <v>209</v>
      </c>
      <c r="F27" s="66">
        <f>20*(219+77)</f>
        <v>5920</v>
      </c>
      <c r="G27" s="67">
        <f t="shared" si="1"/>
        <v>2770</v>
      </c>
      <c r="H27" s="68">
        <f t="shared" si="3"/>
        <v>0.49679054054054056</v>
      </c>
    </row>
    <row r="28" spans="1:8" ht="15.75">
      <c r="A28" s="47">
        <v>38412</v>
      </c>
      <c r="B28" s="64">
        <v>117448</v>
      </c>
      <c r="C28" s="64">
        <f t="shared" si="4"/>
        <v>2938</v>
      </c>
      <c r="D28" s="65">
        <v>84263</v>
      </c>
      <c r="E28" s="65">
        <f t="shared" si="5"/>
        <v>181</v>
      </c>
      <c r="F28" s="66">
        <f>20*(184+80)</f>
        <v>5280</v>
      </c>
      <c r="G28" s="67">
        <f t="shared" si="1"/>
        <v>2161</v>
      </c>
      <c r="H28" s="68">
        <f t="shared" si="3"/>
        <v>0.5564393939393939</v>
      </c>
    </row>
    <row r="29" spans="1:8" ht="15.75">
      <c r="A29" s="47">
        <v>38443</v>
      </c>
      <c r="B29" s="64">
        <v>120557</v>
      </c>
      <c r="C29" s="64">
        <f t="shared" si="4"/>
        <v>3109</v>
      </c>
      <c r="D29" s="65">
        <v>84469</v>
      </c>
      <c r="E29" s="65">
        <f t="shared" si="5"/>
        <v>206</v>
      </c>
      <c r="F29" s="66">
        <v>5220</v>
      </c>
      <c r="G29" s="67">
        <f t="shared" si="1"/>
        <v>1905</v>
      </c>
      <c r="H29" s="68">
        <f t="shared" si="3"/>
        <v>0.5955938697318007</v>
      </c>
    </row>
    <row r="30" spans="1:8" ht="15.75">
      <c r="A30" s="47">
        <v>38473</v>
      </c>
      <c r="B30" s="64">
        <v>123675</v>
      </c>
      <c r="C30" s="64">
        <f t="shared" si="4"/>
        <v>3118</v>
      </c>
      <c r="D30" s="65">
        <v>84656</v>
      </c>
      <c r="E30" s="65">
        <f t="shared" si="5"/>
        <v>187</v>
      </c>
      <c r="F30" s="66">
        <f>20*(167+80)</f>
        <v>4940</v>
      </c>
      <c r="G30" s="67">
        <f t="shared" si="1"/>
        <v>1635</v>
      </c>
      <c r="H30" s="68">
        <f t="shared" si="3"/>
        <v>0.6311740890688259</v>
      </c>
    </row>
    <row r="31" spans="1:8" ht="15.75">
      <c r="A31" s="47">
        <v>38504</v>
      </c>
      <c r="B31" s="64">
        <v>126912</v>
      </c>
      <c r="C31" s="64">
        <f t="shared" si="4"/>
        <v>3237</v>
      </c>
      <c r="D31" s="65">
        <v>84854</v>
      </c>
      <c r="E31" s="65">
        <f t="shared" si="5"/>
        <v>198</v>
      </c>
      <c r="F31" s="66">
        <f>20*(173+78)</f>
        <v>5020</v>
      </c>
      <c r="G31" s="67">
        <f t="shared" si="1"/>
        <v>1585</v>
      </c>
      <c r="H31" s="68">
        <f t="shared" si="3"/>
        <v>0.6448207171314742</v>
      </c>
    </row>
    <row r="32" spans="1:9" ht="15.75">
      <c r="A32" s="47">
        <v>38534</v>
      </c>
      <c r="B32" s="64">
        <v>131086</v>
      </c>
      <c r="C32" s="64">
        <f t="shared" si="4"/>
        <v>4174</v>
      </c>
      <c r="D32" s="65">
        <v>85038</v>
      </c>
      <c r="E32" s="65">
        <f t="shared" si="5"/>
        <v>184</v>
      </c>
      <c r="F32" s="66">
        <f>20*(180+96)</f>
        <v>5520</v>
      </c>
      <c r="G32" s="67">
        <f t="shared" si="1"/>
        <v>1162</v>
      </c>
      <c r="H32" s="68">
        <f aca="true" t="shared" si="6" ref="H32:H37">+C32/F32</f>
        <v>0.756159420289855</v>
      </c>
      <c r="I32" s="95">
        <f>SUM(G21:G32)</f>
        <v>24926</v>
      </c>
    </row>
    <row r="33" spans="1:8" ht="15.75">
      <c r="A33" s="47">
        <v>38565</v>
      </c>
      <c r="B33" s="64">
        <v>133372</v>
      </c>
      <c r="C33" s="64">
        <f t="shared" si="4"/>
        <v>2286</v>
      </c>
      <c r="D33" s="65">
        <v>85161</v>
      </c>
      <c r="E33" s="65">
        <f t="shared" si="5"/>
        <v>123</v>
      </c>
      <c r="F33" s="66">
        <f>20*(107+53)</f>
        <v>3200</v>
      </c>
      <c r="G33" s="67">
        <f>+F33-C33-E33</f>
        <v>791</v>
      </c>
      <c r="H33" s="68">
        <f t="shared" si="6"/>
        <v>0.714375</v>
      </c>
    </row>
    <row r="34" spans="1:8" ht="15.75">
      <c r="A34" s="47">
        <v>38596</v>
      </c>
      <c r="B34" s="64">
        <v>136912</v>
      </c>
      <c r="C34" s="64">
        <f t="shared" si="4"/>
        <v>3540</v>
      </c>
      <c r="D34" s="65">
        <v>85378</v>
      </c>
      <c r="E34" s="65">
        <f t="shared" si="5"/>
        <v>217</v>
      </c>
      <c r="F34" s="66">
        <f>20*(200+88)</f>
        <v>5760</v>
      </c>
      <c r="G34" s="67">
        <f>+F34-C34-E34</f>
        <v>2003</v>
      </c>
      <c r="H34" s="68">
        <f t="shared" si="6"/>
        <v>0.6145833333333334</v>
      </c>
    </row>
    <row r="35" spans="1:8" ht="15.75">
      <c r="A35" s="47">
        <v>38626</v>
      </c>
      <c r="B35" s="64">
        <v>139675</v>
      </c>
      <c r="C35" s="64">
        <f>+B35-B34</f>
        <v>2763</v>
      </c>
      <c r="D35" s="65">
        <v>85543</v>
      </c>
      <c r="E35" s="65">
        <f>+D35-D34</f>
        <v>165</v>
      </c>
      <c r="F35" s="66">
        <f>20*(154+77)</f>
        <v>4620</v>
      </c>
      <c r="G35" s="67">
        <f>+F35-C35-E35</f>
        <v>1692</v>
      </c>
      <c r="H35" s="68">
        <f t="shared" si="6"/>
        <v>0.5980519480519481</v>
      </c>
    </row>
    <row r="36" spans="1:8" ht="15.75">
      <c r="A36" s="47">
        <v>38657</v>
      </c>
      <c r="B36" s="64">
        <v>142890</v>
      </c>
      <c r="C36" s="64">
        <f>+B36-B35</f>
        <v>3215</v>
      </c>
      <c r="D36" s="65">
        <v>85814</v>
      </c>
      <c r="E36" s="65">
        <f>+D36-D35</f>
        <v>271</v>
      </c>
      <c r="F36" s="66">
        <f>20*(235+80)</f>
        <v>6300</v>
      </c>
      <c r="G36" s="67">
        <f>+F36-C36-E36</f>
        <v>2814</v>
      </c>
      <c r="H36" s="68">
        <f t="shared" si="6"/>
        <v>0.5103174603174603</v>
      </c>
    </row>
    <row r="37" spans="1:8" ht="16.5" thickBot="1">
      <c r="A37" s="48">
        <v>38687</v>
      </c>
      <c r="B37" s="69">
        <v>145963</v>
      </c>
      <c r="C37" s="69">
        <f>+B37-B36</f>
        <v>3073</v>
      </c>
      <c r="D37" s="70">
        <v>86025</v>
      </c>
      <c r="E37" s="70">
        <f>+D37-D36</f>
        <v>211</v>
      </c>
      <c r="F37" s="71">
        <f>20*(209+91)</f>
        <v>6000</v>
      </c>
      <c r="G37" s="76">
        <f>+F37-C37-E37</f>
        <v>2716</v>
      </c>
      <c r="H37" s="77">
        <f t="shared" si="6"/>
        <v>0.5121666666666667</v>
      </c>
    </row>
    <row r="38" spans="1:8" ht="15.75">
      <c r="A38" s="83">
        <v>38718</v>
      </c>
      <c r="B38" s="64">
        <v>148890</v>
      </c>
      <c r="C38" s="64">
        <f>+IF(B38=0,"",B38-B37)</f>
        <v>2927</v>
      </c>
      <c r="D38" s="65">
        <v>86245</v>
      </c>
      <c r="E38" s="65">
        <f>+IF(D38=0,"",D38-D37)</f>
        <v>220</v>
      </c>
      <c r="F38" s="66">
        <f>20*(214+82)</f>
        <v>5920</v>
      </c>
      <c r="G38" s="67">
        <f>+IF(F38=0,"",F38-E38-C38)</f>
        <v>2773</v>
      </c>
      <c r="H38" s="68">
        <f>+IF(F38=0,"",C38/F38)</f>
        <v>0.4944256756756757</v>
      </c>
    </row>
    <row r="39" spans="1:8" ht="15.75">
      <c r="A39" s="47">
        <v>38749</v>
      </c>
      <c r="B39" s="64">
        <v>151767</v>
      </c>
      <c r="C39" s="64">
        <f>+IF(B39=0,"",B39-B38)</f>
        <v>2877</v>
      </c>
      <c r="D39" s="65">
        <v>86459</v>
      </c>
      <c r="E39" s="65">
        <f>+IF(D39=0,"",D39-D38)</f>
        <v>214</v>
      </c>
      <c r="F39" s="66">
        <f>20*(217+82)</f>
        <v>5980</v>
      </c>
      <c r="G39" s="67">
        <f>+IF(F39=0,"",F39-E39-C39)</f>
        <v>2889</v>
      </c>
      <c r="H39" s="68">
        <f>+IF(F39=0,"",C39/F39)</f>
        <v>0.4811036789297659</v>
      </c>
    </row>
    <row r="40" spans="1:8" ht="15.75">
      <c r="A40" s="47">
        <v>38777</v>
      </c>
      <c r="B40" s="64">
        <v>155026</v>
      </c>
      <c r="C40" s="64">
        <f aca="true" t="shared" si="7" ref="C40:C55">+IF(B40=0,"",B40-B39)</f>
        <v>3259</v>
      </c>
      <c r="D40" s="65">
        <v>86693</v>
      </c>
      <c r="E40" s="65">
        <f aca="true" t="shared" si="8" ref="E40:E55">+IF(D40=0,"",D40-D39)</f>
        <v>234</v>
      </c>
      <c r="F40" s="66">
        <f>20*(202+94)</f>
        <v>5920</v>
      </c>
      <c r="G40" s="67">
        <f aca="true" t="shared" si="9" ref="G40:G52">+IF(F40=0,"",F40-E40-C40)</f>
        <v>2427</v>
      </c>
      <c r="H40" s="68">
        <f aca="true" t="shared" si="10" ref="H40:H52">+IF(F40=0,"",C40/F40)</f>
        <v>0.5505067567567568</v>
      </c>
    </row>
    <row r="41" spans="1:8" ht="15.75">
      <c r="A41" s="47">
        <v>38808</v>
      </c>
      <c r="B41" s="64">
        <v>157652</v>
      </c>
      <c r="C41" s="64">
        <f t="shared" si="7"/>
        <v>2626</v>
      </c>
      <c r="D41" s="65">
        <v>86837</v>
      </c>
      <c r="E41" s="65">
        <f t="shared" si="8"/>
        <v>144</v>
      </c>
      <c r="F41" s="66">
        <f>20*(143+76)</f>
        <v>4380</v>
      </c>
      <c r="G41" s="67">
        <f t="shared" si="9"/>
        <v>1610</v>
      </c>
      <c r="H41" s="68">
        <f t="shared" si="10"/>
        <v>0.5995433789954338</v>
      </c>
    </row>
    <row r="42" spans="1:8" ht="15.75">
      <c r="A42" s="47">
        <v>38838</v>
      </c>
      <c r="B42" s="64">
        <v>161006</v>
      </c>
      <c r="C42" s="64">
        <f t="shared" si="7"/>
        <v>3354</v>
      </c>
      <c r="D42" s="65">
        <v>87065</v>
      </c>
      <c r="E42" s="65">
        <f t="shared" si="8"/>
        <v>228</v>
      </c>
      <c r="F42" s="66">
        <f>20*(178+84)</f>
        <v>5240</v>
      </c>
      <c r="G42" s="67">
        <f t="shared" si="9"/>
        <v>1658</v>
      </c>
      <c r="H42" s="68">
        <f t="shared" si="10"/>
        <v>0.6400763358778626</v>
      </c>
    </row>
    <row r="43" spans="1:8" ht="15.75">
      <c r="A43" s="47">
        <v>38869</v>
      </c>
      <c r="B43" s="64">
        <f>+B42+3550</f>
        <v>164556</v>
      </c>
      <c r="C43" s="64">
        <f t="shared" si="7"/>
        <v>3550</v>
      </c>
      <c r="D43" s="65">
        <f>+D42+230</f>
        <v>87295</v>
      </c>
      <c r="E43" s="65">
        <f t="shared" si="8"/>
        <v>230</v>
      </c>
      <c r="F43" s="66">
        <v>4820</v>
      </c>
      <c r="G43" s="67">
        <f>+IF(F43=0,"",F43-E43-C43)</f>
        <v>1040</v>
      </c>
      <c r="H43" s="68">
        <f>+IF(F43=0,"",C43/F43)</f>
        <v>0.7365145228215768</v>
      </c>
    </row>
    <row r="44" spans="1:9" ht="15.75">
      <c r="A44" s="47">
        <v>38899</v>
      </c>
      <c r="B44" s="64">
        <f>+B43+3200</f>
        <v>167756</v>
      </c>
      <c r="C44" s="64">
        <f t="shared" si="7"/>
        <v>3200</v>
      </c>
      <c r="D44" s="65">
        <f>+D43+125</f>
        <v>87420</v>
      </c>
      <c r="E44" s="65">
        <f t="shared" si="8"/>
        <v>125</v>
      </c>
      <c r="F44" s="66">
        <v>4500</v>
      </c>
      <c r="G44" s="67">
        <f>+IF(F44=0,"",F44-E44-C44)</f>
        <v>1175</v>
      </c>
      <c r="H44" s="68">
        <f>+IF(F44=0,"",C44/F44)</f>
        <v>0.7111111111111111</v>
      </c>
      <c r="I44" s="95">
        <f>SUM(G33:G44)</f>
        <v>23588</v>
      </c>
    </row>
    <row r="45" spans="1:8" ht="15.75">
      <c r="A45" s="47">
        <v>38930</v>
      </c>
      <c r="B45" s="64">
        <v>171300</v>
      </c>
      <c r="C45" s="64">
        <f t="shared" si="7"/>
        <v>3544</v>
      </c>
      <c r="D45" s="65">
        <v>87548</v>
      </c>
      <c r="E45" s="65">
        <f t="shared" si="8"/>
        <v>128</v>
      </c>
      <c r="F45" s="66">
        <v>4500</v>
      </c>
      <c r="G45" s="67">
        <f>+IF(F45=0,"",F45-E45-C45)</f>
        <v>828</v>
      </c>
      <c r="H45" s="68">
        <f>+IF(F45=0,"",C45/F45)</f>
        <v>0.7875555555555556</v>
      </c>
    </row>
    <row r="46" spans="1:8" ht="15.75">
      <c r="A46" s="47">
        <v>38961</v>
      </c>
      <c r="B46" s="64">
        <v>175622</v>
      </c>
      <c r="C46" s="64">
        <f t="shared" si="7"/>
        <v>4322</v>
      </c>
      <c r="D46" s="65">
        <v>87742</v>
      </c>
      <c r="E46" s="65">
        <f t="shared" si="8"/>
        <v>194</v>
      </c>
      <c r="F46" s="66">
        <f>20*(201+99)</f>
        <v>6000</v>
      </c>
      <c r="G46" s="67">
        <f t="shared" si="9"/>
        <v>1484</v>
      </c>
      <c r="H46" s="68">
        <f t="shared" si="10"/>
        <v>0.7203333333333334</v>
      </c>
    </row>
    <row r="47" spans="1:8" ht="15.75">
      <c r="A47" s="47">
        <v>38991</v>
      </c>
      <c r="B47" s="64">
        <v>179324</v>
      </c>
      <c r="C47" s="64">
        <f t="shared" si="7"/>
        <v>3702</v>
      </c>
      <c r="D47" s="65">
        <v>87934</v>
      </c>
      <c r="E47" s="65">
        <f t="shared" si="8"/>
        <v>192</v>
      </c>
      <c r="F47" s="66">
        <f>20*(185+87)</f>
        <v>5440</v>
      </c>
      <c r="G47" s="67">
        <f t="shared" si="9"/>
        <v>1546</v>
      </c>
      <c r="H47" s="68">
        <f t="shared" si="10"/>
        <v>0.680514705882353</v>
      </c>
    </row>
    <row r="48" spans="1:8" ht="15.75">
      <c r="A48" s="47">
        <v>39022</v>
      </c>
      <c r="B48" s="64">
        <v>183362</v>
      </c>
      <c r="C48" s="64">
        <f t="shared" si="7"/>
        <v>4038</v>
      </c>
      <c r="D48" s="65">
        <v>88177</v>
      </c>
      <c r="E48" s="65">
        <f t="shared" si="8"/>
        <v>243</v>
      </c>
      <c r="F48" s="66">
        <f>20*(258+93)</f>
        <v>7020</v>
      </c>
      <c r="G48" s="67">
        <f t="shared" si="9"/>
        <v>2739</v>
      </c>
      <c r="H48" s="68">
        <f t="shared" si="10"/>
        <v>0.5752136752136752</v>
      </c>
    </row>
    <row r="49" spans="1:8" ht="15.75">
      <c r="A49" s="47">
        <v>39052</v>
      </c>
      <c r="B49" s="64">
        <v>187393</v>
      </c>
      <c r="C49" s="64">
        <f t="shared" si="7"/>
        <v>4031</v>
      </c>
      <c r="D49" s="65">
        <v>88405</v>
      </c>
      <c r="E49" s="65">
        <f t="shared" si="8"/>
        <v>228</v>
      </c>
      <c r="F49" s="66">
        <f>20*(235+102)</f>
        <v>6740</v>
      </c>
      <c r="G49" s="67">
        <f t="shared" si="9"/>
        <v>2481</v>
      </c>
      <c r="H49" s="68">
        <f t="shared" si="10"/>
        <v>0.5980712166172106</v>
      </c>
    </row>
    <row r="50" spans="1:8" ht="15">
      <c r="A50" s="42"/>
      <c r="B50" s="42"/>
      <c r="C50" s="42"/>
      <c r="D50" s="42"/>
      <c r="E50" s="42"/>
      <c r="F50" s="42"/>
      <c r="G50" s="42"/>
      <c r="H50" s="42"/>
    </row>
    <row r="51" spans="1:8" ht="15.75">
      <c r="A51" s="47">
        <v>39083</v>
      </c>
      <c r="B51" s="64">
        <v>191916</v>
      </c>
      <c r="C51" s="64">
        <f>+IF(B51=0,"",B51-B49)</f>
        <v>4523</v>
      </c>
      <c r="D51" s="65">
        <v>88665</v>
      </c>
      <c r="E51" s="65">
        <f>+IF(D51=0,"",D51-D49)</f>
        <v>260</v>
      </c>
      <c r="F51" s="66">
        <f>20*(276+107)</f>
        <v>7660</v>
      </c>
      <c r="G51" s="67">
        <f t="shared" si="9"/>
        <v>2877</v>
      </c>
      <c r="H51" s="68">
        <f t="shared" si="10"/>
        <v>0.5904699738903394</v>
      </c>
    </row>
    <row r="52" spans="1:8" ht="15.75">
      <c r="A52" s="47">
        <v>39114</v>
      </c>
      <c r="B52" s="64">
        <v>194963</v>
      </c>
      <c r="C52" s="64">
        <f t="shared" si="7"/>
        <v>3047</v>
      </c>
      <c r="D52" s="65">
        <v>88870</v>
      </c>
      <c r="E52" s="65">
        <f t="shared" si="8"/>
        <v>205</v>
      </c>
      <c r="F52" s="66">
        <f>20*(207+77)</f>
        <v>5680</v>
      </c>
      <c r="G52" s="67">
        <f t="shared" si="9"/>
        <v>2428</v>
      </c>
      <c r="H52" s="68">
        <f t="shared" si="10"/>
        <v>0.536443661971831</v>
      </c>
    </row>
    <row r="53" spans="1:8" ht="15.75">
      <c r="A53" s="47">
        <v>39142</v>
      </c>
      <c r="B53" s="64">
        <v>200266</v>
      </c>
      <c r="C53" s="64">
        <f t="shared" si="7"/>
        <v>5303</v>
      </c>
      <c r="D53" s="65">
        <v>89167</v>
      </c>
      <c r="E53" s="65">
        <f t="shared" si="8"/>
        <v>297</v>
      </c>
      <c r="F53" s="66">
        <f>20*(277+138)</f>
        <v>8300</v>
      </c>
      <c r="G53" s="67">
        <f>+IF(F53=0,"",F53-E53-C53)</f>
        <v>2700</v>
      </c>
      <c r="H53" s="68">
        <f>+IF(F53=0,"",C53/F53)</f>
        <v>0.6389156626506024</v>
      </c>
    </row>
    <row r="54" spans="1:8" ht="15.75">
      <c r="A54" s="47">
        <v>39173</v>
      </c>
      <c r="B54" s="64">
        <v>202711</v>
      </c>
      <c r="C54" s="64">
        <f t="shared" si="7"/>
        <v>2445</v>
      </c>
      <c r="D54" s="65">
        <v>89296</v>
      </c>
      <c r="E54" s="65">
        <f t="shared" si="8"/>
        <v>129</v>
      </c>
      <c r="F54" s="66">
        <f>20*(120+60)</f>
        <v>3600</v>
      </c>
      <c r="G54" s="67">
        <f>+IF(F54=0,"",F54-E54-C54)</f>
        <v>1026</v>
      </c>
      <c r="H54" s="68">
        <f>+IF(F54=0,"",C54/F54)</f>
        <v>0.6791666666666667</v>
      </c>
    </row>
    <row r="55" spans="1:8" ht="15.75">
      <c r="A55" s="47">
        <v>39203</v>
      </c>
      <c r="B55" s="64">
        <v>206110</v>
      </c>
      <c r="C55" s="64">
        <f t="shared" si="7"/>
        <v>3399</v>
      </c>
      <c r="D55" s="65">
        <v>89450</v>
      </c>
      <c r="E55" s="65">
        <f t="shared" si="8"/>
        <v>154</v>
      </c>
      <c r="F55" s="66">
        <v>4520</v>
      </c>
      <c r="G55" s="67">
        <f>+IF(F55=0,"",F55-E55-C55)</f>
        <v>967</v>
      </c>
      <c r="H55" s="68">
        <f>+IF(F55=0,"",C55/F55)</f>
        <v>0.7519911504424779</v>
      </c>
    </row>
    <row r="56" spans="1:8" ht="15.75">
      <c r="A56" s="47">
        <v>39234</v>
      </c>
      <c r="B56" s="64">
        <v>211144</v>
      </c>
      <c r="C56" s="64">
        <f>+IF(B56=0,"",B56-B55)</f>
        <v>5034</v>
      </c>
      <c r="D56" s="65">
        <v>89680</v>
      </c>
      <c r="E56" s="65">
        <f>+IF(D56=0,"",D56-D55)</f>
        <v>230</v>
      </c>
      <c r="F56" s="66">
        <f>20*(211+103)</f>
        <v>6280</v>
      </c>
      <c r="G56" s="67">
        <f>+IF(F56=0,"",F56-E56-C56)</f>
        <v>1016</v>
      </c>
      <c r="H56" s="68">
        <f>+IF(F56=0,"",C56/F56)</f>
        <v>0.8015923566878981</v>
      </c>
    </row>
    <row r="57" spans="1:9" ht="15.75">
      <c r="A57" s="47">
        <v>39264</v>
      </c>
      <c r="B57" s="64">
        <v>215332</v>
      </c>
      <c r="C57" s="64">
        <v>4188</v>
      </c>
      <c r="D57" s="65">
        <v>89831</v>
      </c>
      <c r="E57" s="65">
        <v>151</v>
      </c>
      <c r="F57" s="66">
        <v>5440</v>
      </c>
      <c r="G57" s="67">
        <v>1101</v>
      </c>
      <c r="H57" s="68">
        <v>0.7699</v>
      </c>
      <c r="I57" s="95">
        <f>SUM(G45:G57)</f>
        <v>21193</v>
      </c>
    </row>
    <row r="58" spans="1:8" ht="15.75">
      <c r="A58" s="47">
        <v>39295</v>
      </c>
      <c r="B58" s="64">
        <v>219520</v>
      </c>
      <c r="C58" s="64">
        <v>4188</v>
      </c>
      <c r="D58" s="65">
        <v>89982</v>
      </c>
      <c r="E58" s="65">
        <v>151</v>
      </c>
      <c r="F58" s="66">
        <v>5440</v>
      </c>
      <c r="G58" s="67">
        <v>1101</v>
      </c>
      <c r="H58" s="68">
        <v>0.7699</v>
      </c>
    </row>
    <row r="59" spans="1:8" ht="15.75">
      <c r="A59" s="47">
        <v>39326</v>
      </c>
      <c r="B59" s="64">
        <v>223884</v>
      </c>
      <c r="C59" s="64">
        <v>4364</v>
      </c>
      <c r="D59" s="65">
        <v>90206</v>
      </c>
      <c r="E59" s="65">
        <v>224</v>
      </c>
      <c r="F59" s="66">
        <v>5960</v>
      </c>
      <c r="G59" s="67">
        <v>1372</v>
      </c>
      <c r="H59" s="68">
        <v>0.7322</v>
      </c>
    </row>
    <row r="60" spans="1:8" ht="15.75">
      <c r="A60" s="47">
        <v>39356</v>
      </c>
      <c r="B60" s="64">
        <v>228811</v>
      </c>
      <c r="C60" s="64">
        <v>4927</v>
      </c>
      <c r="D60" s="65">
        <v>90413</v>
      </c>
      <c r="E60" s="65">
        <v>207</v>
      </c>
      <c r="F60" s="66">
        <v>6960</v>
      </c>
      <c r="G60" s="67">
        <v>1826</v>
      </c>
      <c r="H60" s="68">
        <v>0.7079</v>
      </c>
    </row>
    <row r="61" spans="1:8" ht="15.75">
      <c r="A61" s="47">
        <v>39387</v>
      </c>
      <c r="B61" s="64">
        <v>232899</v>
      </c>
      <c r="C61" s="64">
        <v>4088</v>
      </c>
      <c r="D61" s="65">
        <v>90647</v>
      </c>
      <c r="E61" s="65">
        <v>234</v>
      </c>
      <c r="F61" s="66">
        <v>6760</v>
      </c>
      <c r="G61" s="67">
        <v>2439</v>
      </c>
      <c r="H61" s="68">
        <v>0.6047</v>
      </c>
    </row>
    <row r="62" spans="1:8" ht="15.75">
      <c r="A62" s="47">
        <v>39417</v>
      </c>
      <c r="B62" s="64">
        <v>236986</v>
      </c>
      <c r="C62" s="64">
        <v>4088</v>
      </c>
      <c r="D62" s="65">
        <v>90881</v>
      </c>
      <c r="E62" s="65">
        <v>234</v>
      </c>
      <c r="F62" s="66">
        <v>6980</v>
      </c>
      <c r="G62" s="67">
        <v>2659</v>
      </c>
      <c r="H62" s="68">
        <v>0.5856</v>
      </c>
    </row>
    <row r="63" spans="1:8" ht="15.75">
      <c r="A63" s="47">
        <v>39448</v>
      </c>
      <c r="B63" s="64">
        <v>241495</v>
      </c>
      <c r="C63" s="64">
        <v>4509</v>
      </c>
      <c r="D63" s="65">
        <v>91100</v>
      </c>
      <c r="E63" s="65">
        <v>219</v>
      </c>
      <c r="F63" s="66">
        <v>7400</v>
      </c>
      <c r="G63" s="67">
        <v>2672</v>
      </c>
      <c r="H63" s="68">
        <v>0.6093</v>
      </c>
    </row>
    <row r="64" spans="1:8" ht="15.75">
      <c r="A64" s="47">
        <v>39479</v>
      </c>
      <c r="B64" s="64">
        <v>245608</v>
      </c>
      <c r="C64" s="64">
        <v>4113</v>
      </c>
      <c r="D64" s="65">
        <v>91312</v>
      </c>
      <c r="E64" s="65">
        <v>212</v>
      </c>
      <c r="F64" s="66">
        <v>6740</v>
      </c>
      <c r="G64" s="67">
        <v>2415</v>
      </c>
      <c r="H64" s="68">
        <v>0.6102</v>
      </c>
    </row>
    <row r="65" spans="1:8" ht="15.75">
      <c r="A65" s="47">
        <v>39508</v>
      </c>
      <c r="B65" s="64">
        <v>249493</v>
      </c>
      <c r="C65" s="64">
        <v>3885</v>
      </c>
      <c r="D65" s="65">
        <v>91469</v>
      </c>
      <c r="E65" s="65">
        <v>157</v>
      </c>
      <c r="F65" s="66">
        <v>5660</v>
      </c>
      <c r="G65" s="67">
        <v>1618</v>
      </c>
      <c r="H65" s="68">
        <v>0.6864</v>
      </c>
    </row>
    <row r="66" spans="1:8" ht="15.75">
      <c r="A66" s="47">
        <v>39539</v>
      </c>
      <c r="B66" s="64">
        <v>254346</v>
      </c>
      <c r="C66" s="64">
        <v>4853</v>
      </c>
      <c r="D66" s="65">
        <v>91700</v>
      </c>
      <c r="E66" s="65">
        <v>231</v>
      </c>
      <c r="F66" s="66">
        <v>7080</v>
      </c>
      <c r="G66" s="67">
        <v>1996</v>
      </c>
      <c r="H66" s="68">
        <v>0.6855</v>
      </c>
    </row>
    <row r="67" spans="1:8" ht="15.75">
      <c r="A67" s="47">
        <v>39569</v>
      </c>
      <c r="B67" s="64">
        <v>258358</v>
      </c>
      <c r="C67" s="64">
        <v>4012</v>
      </c>
      <c r="D67" s="65">
        <v>91863</v>
      </c>
      <c r="E67" s="65">
        <v>163</v>
      </c>
      <c r="F67" s="66">
        <v>5240</v>
      </c>
      <c r="G67" s="67">
        <v>1065</v>
      </c>
      <c r="H67" s="68">
        <v>0.7656</v>
      </c>
    </row>
    <row r="68" spans="1:9" ht="15.75">
      <c r="A68" s="47">
        <v>39600</v>
      </c>
      <c r="B68" s="64">
        <v>262443</v>
      </c>
      <c r="C68" s="64">
        <v>4085</v>
      </c>
      <c r="D68" s="65">
        <v>92048</v>
      </c>
      <c r="E68" s="65">
        <v>185</v>
      </c>
      <c r="F68" s="66">
        <v>5520</v>
      </c>
      <c r="G68" s="67">
        <v>1250</v>
      </c>
      <c r="H68" s="68">
        <v>0.74</v>
      </c>
      <c r="I68" s="95">
        <f>SUM(G58:G69)</f>
        <v>21259</v>
      </c>
    </row>
    <row r="69" spans="1:8" ht="15.75">
      <c r="A69" s="47">
        <v>39630</v>
      </c>
      <c r="B69" s="64">
        <v>267262</v>
      </c>
      <c r="C69" s="64">
        <v>4819</v>
      </c>
      <c r="D69" s="65">
        <v>92223</v>
      </c>
      <c r="E69" s="65">
        <v>175</v>
      </c>
      <c r="F69" s="66">
        <v>5840</v>
      </c>
      <c r="G69" s="67">
        <v>846</v>
      </c>
      <c r="H69" s="68">
        <v>0.8252</v>
      </c>
    </row>
    <row r="70" spans="1:8" ht="15.75">
      <c r="A70" s="47">
        <v>39661</v>
      </c>
      <c r="B70" s="64">
        <v>271139</v>
      </c>
      <c r="C70" s="64">
        <f aca="true" t="shared" si="11" ref="C70:C97">+IF(B70=0,"",B70-B69)</f>
        <v>3877</v>
      </c>
      <c r="D70" s="65">
        <v>92376</v>
      </c>
      <c r="E70" s="65">
        <f aca="true" t="shared" si="12" ref="E70:E97">+IF(D70=0,"",D70-D69)</f>
        <v>153</v>
      </c>
      <c r="F70" s="66">
        <f>20*(163+88)</f>
        <v>5020</v>
      </c>
      <c r="G70" s="67">
        <f aca="true" t="shared" si="13" ref="G70:G97">+IF(F70=0,"",F70-E70-C70)</f>
        <v>990</v>
      </c>
      <c r="H70" s="68">
        <f aca="true" t="shared" si="14" ref="H70:H97">+IF(F70=0,"",C70/F70)</f>
        <v>0.7723107569721116</v>
      </c>
    </row>
    <row r="71" spans="1:8" ht="15.75">
      <c r="A71" s="47">
        <v>39692</v>
      </c>
      <c r="B71" s="64">
        <v>275696</v>
      </c>
      <c r="C71" s="64">
        <f t="shared" si="11"/>
        <v>4557</v>
      </c>
      <c r="D71" s="65">
        <v>92594</v>
      </c>
      <c r="E71" s="65">
        <f t="shared" si="12"/>
        <v>218</v>
      </c>
      <c r="F71" s="66">
        <f>20*(223+100)</f>
        <v>6460</v>
      </c>
      <c r="G71" s="67">
        <f t="shared" si="13"/>
        <v>1685</v>
      </c>
      <c r="H71" s="68">
        <f t="shared" si="14"/>
        <v>0.7054179566563468</v>
      </c>
    </row>
    <row r="72" spans="1:8" ht="15.75">
      <c r="A72" s="47">
        <v>39722</v>
      </c>
      <c r="B72" s="64">
        <f>+(B73-B71)/2+B71</f>
        <v>280333.5</v>
      </c>
      <c r="C72" s="64">
        <f t="shared" si="11"/>
        <v>4637.5</v>
      </c>
      <c r="D72" s="65">
        <f>+(D73-D71)/2+D71</f>
        <v>92800.5</v>
      </c>
      <c r="E72" s="65">
        <f t="shared" si="12"/>
        <v>206.5</v>
      </c>
      <c r="F72" s="66">
        <v>6250</v>
      </c>
      <c r="G72" s="67">
        <f t="shared" si="13"/>
        <v>1406</v>
      </c>
      <c r="H72" s="68">
        <f t="shared" si="14"/>
        <v>0.742</v>
      </c>
    </row>
    <row r="73" spans="1:8" ht="15.75">
      <c r="A73" s="47">
        <v>39753</v>
      </c>
      <c r="B73" s="64">
        <v>284971</v>
      </c>
      <c r="C73" s="64">
        <f t="shared" si="11"/>
        <v>4637.5</v>
      </c>
      <c r="D73" s="65">
        <v>93007</v>
      </c>
      <c r="E73" s="65">
        <f t="shared" si="12"/>
        <v>206.5</v>
      </c>
      <c r="F73" s="66">
        <f>20*(254+100)</f>
        <v>7080</v>
      </c>
      <c r="G73" s="67">
        <f t="shared" si="13"/>
        <v>2236</v>
      </c>
      <c r="H73" s="68">
        <f t="shared" si="14"/>
        <v>0.6550141242937854</v>
      </c>
    </row>
    <row r="74" spans="1:8" ht="15.75">
      <c r="A74" s="47">
        <v>39783</v>
      </c>
      <c r="B74" s="64">
        <v>290032</v>
      </c>
      <c r="C74" s="64">
        <f t="shared" si="11"/>
        <v>5061</v>
      </c>
      <c r="D74" s="65">
        <v>93226</v>
      </c>
      <c r="E74" s="65">
        <f t="shared" si="12"/>
        <v>219</v>
      </c>
      <c r="F74" s="66">
        <f>+(257+123)*20</f>
        <v>7600</v>
      </c>
      <c r="G74" s="67">
        <f t="shared" si="13"/>
        <v>2320</v>
      </c>
      <c r="H74" s="68">
        <f t="shared" si="14"/>
        <v>0.665921052631579</v>
      </c>
    </row>
    <row r="75" spans="1:8" ht="15.75">
      <c r="A75" s="47">
        <v>39814</v>
      </c>
      <c r="B75" s="64">
        <v>294454</v>
      </c>
      <c r="C75" s="64">
        <f t="shared" si="11"/>
        <v>4422</v>
      </c>
      <c r="D75" s="65">
        <v>93428</v>
      </c>
      <c r="E75" s="65">
        <f t="shared" si="12"/>
        <v>202</v>
      </c>
      <c r="F75" s="66">
        <f>20*(239+106)</f>
        <v>6900</v>
      </c>
      <c r="G75" s="67">
        <f t="shared" si="13"/>
        <v>2276</v>
      </c>
      <c r="H75" s="68">
        <f t="shared" si="14"/>
        <v>0.6408695652173914</v>
      </c>
    </row>
    <row r="76" spans="1:8" ht="15.75">
      <c r="A76" s="47">
        <v>39845</v>
      </c>
      <c r="B76" s="64">
        <v>298826</v>
      </c>
      <c r="C76" s="64">
        <f t="shared" si="11"/>
        <v>4372</v>
      </c>
      <c r="D76" s="65">
        <v>93609</v>
      </c>
      <c r="E76" s="65">
        <f t="shared" si="12"/>
        <v>181</v>
      </c>
      <c r="F76" s="66">
        <f>20*(243+100)</f>
        <v>6860</v>
      </c>
      <c r="G76" s="67">
        <f t="shared" si="13"/>
        <v>2307</v>
      </c>
      <c r="H76" s="68">
        <f t="shared" si="14"/>
        <v>0.6373177842565597</v>
      </c>
    </row>
    <row r="77" spans="1:8" ht="15.75">
      <c r="A77" s="47" t="s">
        <v>58</v>
      </c>
      <c r="B77" s="64">
        <v>0</v>
      </c>
      <c r="C77" s="64"/>
      <c r="D77" s="65"/>
      <c r="E77" s="65"/>
      <c r="F77" s="66"/>
      <c r="G77" s="67"/>
      <c r="H77" s="68"/>
    </row>
    <row r="78" spans="1:8" ht="15.75">
      <c r="A78" s="47">
        <v>39873</v>
      </c>
      <c r="B78" s="64">
        <f>+B79/2</f>
        <v>4543.5</v>
      </c>
      <c r="C78" s="64">
        <f>+B78</f>
        <v>4543.5</v>
      </c>
      <c r="D78" s="65">
        <f>+(D79-D76)/2+D76</f>
        <v>93800.5</v>
      </c>
      <c r="E78" s="65">
        <f>+IF(D78=0,"",D78-D76)</f>
        <v>191.5</v>
      </c>
      <c r="F78" s="66">
        <v>7420</v>
      </c>
      <c r="G78" s="67">
        <f t="shared" si="13"/>
        <v>2685</v>
      </c>
      <c r="H78" s="68">
        <f t="shared" si="14"/>
        <v>0.6123315363881402</v>
      </c>
    </row>
    <row r="79" spans="1:8" ht="15.75">
      <c r="A79" s="47">
        <v>39904</v>
      </c>
      <c r="B79" s="64">
        <v>9087</v>
      </c>
      <c r="C79" s="64">
        <f t="shared" si="11"/>
        <v>4543.5</v>
      </c>
      <c r="D79" s="65">
        <v>93992</v>
      </c>
      <c r="E79" s="65">
        <f t="shared" si="12"/>
        <v>191.5</v>
      </c>
      <c r="F79" s="66">
        <v>6626</v>
      </c>
      <c r="G79" s="67">
        <f t="shared" si="13"/>
        <v>1891</v>
      </c>
      <c r="H79" s="68">
        <f t="shared" si="14"/>
        <v>0.6857078176878961</v>
      </c>
    </row>
    <row r="80" spans="1:9" ht="15.75">
      <c r="A80" s="47">
        <v>39934</v>
      </c>
      <c r="B80" s="64">
        <v>14462</v>
      </c>
      <c r="C80" s="64">
        <f t="shared" si="11"/>
        <v>5375</v>
      </c>
      <c r="D80" s="65">
        <v>94166</v>
      </c>
      <c r="E80" s="65">
        <f t="shared" si="12"/>
        <v>174</v>
      </c>
      <c r="F80" s="66">
        <v>6938</v>
      </c>
      <c r="G80" s="67">
        <f t="shared" si="13"/>
        <v>1389</v>
      </c>
      <c r="H80" s="68">
        <f t="shared" si="14"/>
        <v>0.7747189391755549</v>
      </c>
      <c r="I80" s="95">
        <f>SUM(G70:G82)</f>
        <v>23718</v>
      </c>
    </row>
    <row r="81" spans="1:8" ht="15.75">
      <c r="A81" s="47">
        <v>39965</v>
      </c>
      <c r="B81" s="64">
        <v>19421</v>
      </c>
      <c r="C81" s="64">
        <f t="shared" si="11"/>
        <v>4959</v>
      </c>
      <c r="D81" s="65">
        <v>94314</v>
      </c>
      <c r="E81" s="65">
        <f t="shared" si="12"/>
        <v>148</v>
      </c>
      <c r="F81" s="66">
        <v>7074</v>
      </c>
      <c r="G81" s="67">
        <f t="shared" si="13"/>
        <v>1967</v>
      </c>
      <c r="H81" s="68">
        <f t="shared" si="14"/>
        <v>0.7010178117048346</v>
      </c>
    </row>
    <row r="82" spans="1:8" ht="15.75">
      <c r="A82" s="47">
        <v>39995</v>
      </c>
      <c r="B82" s="64">
        <f>+B81+3775</f>
        <v>23196</v>
      </c>
      <c r="C82" s="64">
        <f t="shared" si="11"/>
        <v>3775</v>
      </c>
      <c r="D82" s="65">
        <f>+D81+175</f>
        <v>94489</v>
      </c>
      <c r="E82" s="65">
        <f t="shared" si="12"/>
        <v>175</v>
      </c>
      <c r="F82" s="66">
        <v>6516</v>
      </c>
      <c r="G82" s="67">
        <f t="shared" si="13"/>
        <v>2566</v>
      </c>
      <c r="H82" s="68">
        <f t="shared" si="14"/>
        <v>0.5793431553100061</v>
      </c>
    </row>
    <row r="83" spans="1:8" ht="15.75">
      <c r="A83" s="47">
        <v>40026</v>
      </c>
      <c r="B83" s="64">
        <v>31616</v>
      </c>
      <c r="C83" s="64">
        <v>4440</v>
      </c>
      <c r="D83" s="65">
        <v>94631</v>
      </c>
      <c r="E83" s="65">
        <f t="shared" si="12"/>
        <v>142</v>
      </c>
      <c r="F83" s="66">
        <f>20*(243+124)</f>
        <v>7340</v>
      </c>
      <c r="G83" s="67">
        <f t="shared" si="13"/>
        <v>2758</v>
      </c>
      <c r="H83" s="68">
        <f t="shared" si="14"/>
        <v>0.6049046321525886</v>
      </c>
    </row>
    <row r="84" spans="1:8" ht="15.75">
      <c r="A84" s="47">
        <v>40057</v>
      </c>
      <c r="B84" s="64">
        <v>36949</v>
      </c>
      <c r="C84" s="64">
        <f t="shared" si="11"/>
        <v>5333</v>
      </c>
      <c r="D84" s="65">
        <v>94854</v>
      </c>
      <c r="E84" s="65">
        <f t="shared" si="12"/>
        <v>223</v>
      </c>
      <c r="F84" s="66">
        <f>20*(246+118)</f>
        <v>7280</v>
      </c>
      <c r="G84" s="67">
        <f t="shared" si="13"/>
        <v>1724</v>
      </c>
      <c r="H84" s="68">
        <f t="shared" si="14"/>
        <v>0.732554945054945</v>
      </c>
    </row>
    <row r="85" spans="1:8" ht="15.75">
      <c r="A85" s="47">
        <v>40087</v>
      </c>
      <c r="B85" s="64">
        <f>+(B86-B84)/2+B84</f>
        <v>42349</v>
      </c>
      <c r="C85" s="64">
        <f t="shared" si="11"/>
        <v>5400</v>
      </c>
      <c r="D85" s="65">
        <f>+(D86-D84)/2+D84</f>
        <v>95079.5</v>
      </c>
      <c r="E85" s="65">
        <f t="shared" si="12"/>
        <v>225.5</v>
      </c>
      <c r="F85" s="66">
        <f>20*(266+130)</f>
        <v>7920</v>
      </c>
      <c r="G85" s="67">
        <f t="shared" si="13"/>
        <v>2294.5</v>
      </c>
      <c r="H85" s="68">
        <f t="shared" si="14"/>
        <v>0.6818181818181818</v>
      </c>
    </row>
    <row r="86" spans="1:8" ht="15.75">
      <c r="A86" s="47">
        <v>40118</v>
      </c>
      <c r="B86" s="64">
        <v>47749</v>
      </c>
      <c r="C86" s="64">
        <f t="shared" si="11"/>
        <v>5400</v>
      </c>
      <c r="D86" s="65">
        <v>95305</v>
      </c>
      <c r="E86" s="65">
        <f t="shared" si="12"/>
        <v>225.5</v>
      </c>
      <c r="F86" s="66">
        <f>20*(299+121)</f>
        <v>8400</v>
      </c>
      <c r="G86" s="67">
        <f t="shared" si="13"/>
        <v>2774.5</v>
      </c>
      <c r="H86" s="68">
        <f t="shared" si="14"/>
        <v>0.6428571428571429</v>
      </c>
    </row>
    <row r="87" spans="1:8" ht="15.75">
      <c r="A87" s="47">
        <v>40148</v>
      </c>
      <c r="B87" s="64">
        <v>53111</v>
      </c>
      <c r="C87" s="64">
        <f t="shared" si="11"/>
        <v>5362</v>
      </c>
      <c r="D87" s="65">
        <v>95491</v>
      </c>
      <c r="E87" s="65">
        <f t="shared" si="12"/>
        <v>186</v>
      </c>
      <c r="F87" s="66">
        <f>20*(272+130)</f>
        <v>8040</v>
      </c>
      <c r="G87" s="67">
        <f t="shared" si="13"/>
        <v>2492</v>
      </c>
      <c r="H87" s="68">
        <f t="shared" si="14"/>
        <v>0.6669154228855722</v>
      </c>
    </row>
    <row r="88" spans="1:8" ht="15.75">
      <c r="A88" s="47">
        <v>40179</v>
      </c>
      <c r="B88" s="64">
        <v>57062</v>
      </c>
      <c r="C88" s="64">
        <f t="shared" si="11"/>
        <v>3951</v>
      </c>
      <c r="D88" s="65">
        <v>95697</v>
      </c>
      <c r="E88" s="65">
        <f t="shared" si="12"/>
        <v>206</v>
      </c>
      <c r="F88" s="66">
        <f>20*(230+100)</f>
        <v>6600</v>
      </c>
      <c r="G88" s="67">
        <f t="shared" si="13"/>
        <v>2443</v>
      </c>
      <c r="H88" s="68">
        <f t="shared" si="14"/>
        <v>0.5986363636363636</v>
      </c>
    </row>
    <row r="89" spans="1:8" ht="15.75">
      <c r="A89" s="47">
        <v>40210</v>
      </c>
      <c r="B89" s="64">
        <v>61674</v>
      </c>
      <c r="C89" s="64">
        <f t="shared" si="11"/>
        <v>4612</v>
      </c>
      <c r="D89" s="65">
        <v>95917</v>
      </c>
      <c r="E89" s="65">
        <f t="shared" si="12"/>
        <v>220</v>
      </c>
      <c r="F89" s="66">
        <f>20*(251+113)</f>
        <v>7280</v>
      </c>
      <c r="G89" s="67">
        <f t="shared" si="13"/>
        <v>2448</v>
      </c>
      <c r="H89" s="68">
        <f t="shared" si="14"/>
        <v>0.6335164835164835</v>
      </c>
    </row>
    <row r="90" spans="1:8" ht="15.75">
      <c r="A90" s="47">
        <v>40238</v>
      </c>
      <c r="B90" s="64">
        <v>67827</v>
      </c>
      <c r="C90" s="64">
        <f t="shared" si="11"/>
        <v>6153</v>
      </c>
      <c r="D90" s="65">
        <v>96131</v>
      </c>
      <c r="E90" s="65">
        <f t="shared" si="12"/>
        <v>214</v>
      </c>
      <c r="F90" s="66">
        <f>20*(280+153)</f>
        <v>8660</v>
      </c>
      <c r="G90" s="67">
        <f t="shared" si="13"/>
        <v>2293</v>
      </c>
      <c r="H90" s="68">
        <f t="shared" si="14"/>
        <v>0.7105080831408775</v>
      </c>
    </row>
    <row r="91" spans="1:8" ht="15.75">
      <c r="A91" s="47">
        <v>40269</v>
      </c>
      <c r="B91" s="64">
        <v>71659</v>
      </c>
      <c r="C91" s="64">
        <f t="shared" si="11"/>
        <v>3832</v>
      </c>
      <c r="D91" s="65">
        <v>96304</v>
      </c>
      <c r="E91" s="65">
        <f t="shared" si="12"/>
        <v>173</v>
      </c>
      <c r="F91" s="66">
        <f>20*(184+95)</f>
        <v>5580</v>
      </c>
      <c r="G91" s="67">
        <f t="shared" si="13"/>
        <v>1575</v>
      </c>
      <c r="H91" s="68">
        <f t="shared" si="14"/>
        <v>0.6867383512544802</v>
      </c>
    </row>
    <row r="92" spans="1:8" ht="15.75">
      <c r="A92" s="47">
        <v>40299</v>
      </c>
      <c r="B92" s="64">
        <v>76536</v>
      </c>
      <c r="C92" s="64">
        <f t="shared" si="11"/>
        <v>4877</v>
      </c>
      <c r="D92" s="65">
        <v>96494</v>
      </c>
      <c r="E92" s="65">
        <f t="shared" si="12"/>
        <v>190</v>
      </c>
      <c r="F92" s="66">
        <f>20*(224+119)</f>
        <v>6860</v>
      </c>
      <c r="G92" s="67">
        <f t="shared" si="13"/>
        <v>1793</v>
      </c>
      <c r="H92" s="68">
        <f t="shared" si="14"/>
        <v>0.710932944606414</v>
      </c>
    </row>
    <row r="93" spans="1:8" ht="15.75">
      <c r="A93" s="47">
        <v>40330</v>
      </c>
      <c r="B93" s="64">
        <v>82500</v>
      </c>
      <c r="C93" s="64">
        <f t="shared" si="11"/>
        <v>5964</v>
      </c>
      <c r="D93" s="65">
        <v>96650</v>
      </c>
      <c r="E93" s="65">
        <f t="shared" si="12"/>
        <v>156</v>
      </c>
      <c r="F93" s="66">
        <v>8260</v>
      </c>
      <c r="G93" s="67">
        <f>+IF(F93=0,"",F93-E93-C93)</f>
        <v>2140</v>
      </c>
      <c r="H93" s="68">
        <f>+IF(F93=0,"",C93/F93)</f>
        <v>0.7220338983050848</v>
      </c>
    </row>
    <row r="94" spans="1:9" ht="15.75">
      <c r="A94" s="47">
        <v>40360</v>
      </c>
      <c r="B94" s="64">
        <v>88065</v>
      </c>
      <c r="C94" s="64">
        <f t="shared" si="11"/>
        <v>5565</v>
      </c>
      <c r="D94" s="65">
        <v>96829</v>
      </c>
      <c r="E94" s="65">
        <f t="shared" si="12"/>
        <v>179</v>
      </c>
      <c r="F94" s="66">
        <f>20*(254+153)</f>
        <v>8140</v>
      </c>
      <c r="G94" s="67">
        <f>+IF(F94=0,"",F94-E94-C94)</f>
        <v>2396</v>
      </c>
      <c r="H94" s="68">
        <f>+IF(F94=0,"",C94/F94)</f>
        <v>0.6836609336609336</v>
      </c>
      <c r="I94" s="95">
        <f>SUM(G83:G94)</f>
        <v>27131</v>
      </c>
    </row>
    <row r="95" spans="1:8" ht="15.75">
      <c r="A95" s="47">
        <v>40391</v>
      </c>
      <c r="B95" s="64">
        <v>91408</v>
      </c>
      <c r="C95" s="64">
        <f t="shared" si="11"/>
        <v>3343</v>
      </c>
      <c r="D95" s="65">
        <v>96974</v>
      </c>
      <c r="E95" s="65">
        <f t="shared" si="12"/>
        <v>145</v>
      </c>
      <c r="F95" s="66">
        <f>20*(246+118)</f>
        <v>7280</v>
      </c>
      <c r="G95" s="67">
        <f t="shared" si="13"/>
        <v>3792</v>
      </c>
      <c r="H95" s="68">
        <f t="shared" si="14"/>
        <v>0.4592032967032967</v>
      </c>
    </row>
    <row r="96" spans="1:8" ht="15.75">
      <c r="A96" s="47">
        <v>40422</v>
      </c>
      <c r="B96" s="64">
        <v>96294</v>
      </c>
      <c r="C96" s="64">
        <f t="shared" si="11"/>
        <v>4886</v>
      </c>
      <c r="D96" s="65">
        <v>97236</v>
      </c>
      <c r="E96" s="65">
        <f t="shared" si="12"/>
        <v>262</v>
      </c>
      <c r="F96" s="66">
        <f>20*(294+138)</f>
        <v>8640</v>
      </c>
      <c r="G96" s="67">
        <f t="shared" si="13"/>
        <v>3492</v>
      </c>
      <c r="H96" s="68">
        <f t="shared" si="14"/>
        <v>0.5655092592592592</v>
      </c>
    </row>
    <row r="97" spans="1:8" ht="15.75">
      <c r="A97" s="47">
        <v>40452</v>
      </c>
      <c r="B97" s="64">
        <v>101184</v>
      </c>
      <c r="C97" s="64">
        <f t="shared" si="11"/>
        <v>4890</v>
      </c>
      <c r="D97" s="65">
        <v>97444</v>
      </c>
      <c r="E97" s="65">
        <f t="shared" si="12"/>
        <v>208</v>
      </c>
      <c r="F97" s="66">
        <f>20*(214+108)</f>
        <v>6440</v>
      </c>
      <c r="G97" s="67">
        <f t="shared" si="13"/>
        <v>1342</v>
      </c>
      <c r="H97" s="68">
        <f t="shared" si="14"/>
        <v>0.7593167701863354</v>
      </c>
    </row>
    <row r="98" spans="1:9" ht="15.75">
      <c r="A98" s="47">
        <v>40483</v>
      </c>
      <c r="B98" s="64">
        <v>106222</v>
      </c>
      <c r="C98" s="64">
        <f aca="true" t="shared" si="15" ref="C98:C104">+IF(B98=0,"",B98-B97)</f>
        <v>5038</v>
      </c>
      <c r="D98" s="65">
        <v>97666</v>
      </c>
      <c r="E98" s="65">
        <f aca="true" t="shared" si="16" ref="E98:E104">+IF(D98=0,"",D98-D97)</f>
        <v>222</v>
      </c>
      <c r="F98" s="66">
        <f>20*(311+133)</f>
        <v>8880</v>
      </c>
      <c r="G98" s="67">
        <f aca="true" t="shared" si="17" ref="G98:G104">+IF(F98=0,"",F98-E98-C98)</f>
        <v>3620</v>
      </c>
      <c r="H98" s="68">
        <f aca="true" t="shared" si="18" ref="H98:H104">+IF(F98=0,"",C98/F98)</f>
        <v>0.5673423423423424</v>
      </c>
      <c r="I98" s="92" t="s">
        <v>62</v>
      </c>
    </row>
    <row r="99" spans="1:9" ht="15.75">
      <c r="A99" s="47">
        <v>40513</v>
      </c>
      <c r="B99" s="64">
        <v>111753</v>
      </c>
      <c r="C99" s="64">
        <f t="shared" si="15"/>
        <v>5531</v>
      </c>
      <c r="D99" s="65">
        <v>98520</v>
      </c>
      <c r="E99" s="65">
        <f t="shared" si="16"/>
        <v>854</v>
      </c>
      <c r="F99" s="66">
        <f>20*(273+136)</f>
        <v>8180</v>
      </c>
      <c r="G99" s="67">
        <f>+IF(F99=0,"",F99-E99-C99)</f>
        <v>1795</v>
      </c>
      <c r="H99" s="68">
        <f>+IF(F99=0,"",C99/F99)</f>
        <v>0.6761613691931541</v>
      </c>
      <c r="I99" s="92" t="s">
        <v>63</v>
      </c>
    </row>
    <row r="100" spans="1:8" ht="15.75">
      <c r="A100" s="47">
        <v>40544</v>
      </c>
      <c r="B100" s="64">
        <v>118417</v>
      </c>
      <c r="C100" s="64">
        <f t="shared" si="15"/>
        <v>6664</v>
      </c>
      <c r="D100" s="65">
        <v>98628</v>
      </c>
      <c r="E100" s="65">
        <f t="shared" si="16"/>
        <v>108</v>
      </c>
      <c r="F100" s="66">
        <f>20*(318+146)</f>
        <v>9280</v>
      </c>
      <c r="G100" s="67">
        <f t="shared" si="17"/>
        <v>2508</v>
      </c>
      <c r="H100" s="68">
        <f t="shared" si="18"/>
        <v>0.718103448275862</v>
      </c>
    </row>
    <row r="101" spans="1:8" ht="15.75">
      <c r="A101" s="47">
        <v>40575</v>
      </c>
      <c r="B101" s="64">
        <v>123440</v>
      </c>
      <c r="C101" s="64">
        <f t="shared" si="15"/>
        <v>5023</v>
      </c>
      <c r="D101" s="65">
        <v>98903</v>
      </c>
      <c r="E101" s="65">
        <f t="shared" si="16"/>
        <v>275</v>
      </c>
      <c r="F101" s="66">
        <f>20*(318+146)</f>
        <v>9280</v>
      </c>
      <c r="G101" s="67">
        <f>+IF(F101=0,"",F101-E101-C101)</f>
        <v>3982</v>
      </c>
      <c r="H101" s="68">
        <f>+IF(F101=0,"",C101/F101)</f>
        <v>0.5412715517241379</v>
      </c>
    </row>
    <row r="102" spans="1:8" ht="15.75">
      <c r="A102" s="47">
        <v>40603</v>
      </c>
      <c r="B102" s="64">
        <v>128869</v>
      </c>
      <c r="C102" s="64">
        <f t="shared" si="15"/>
        <v>5429</v>
      </c>
      <c r="D102" s="65">
        <v>99182</v>
      </c>
      <c r="E102" s="65">
        <f t="shared" si="16"/>
        <v>279</v>
      </c>
      <c r="F102" s="66">
        <f>20*(290+132)</f>
        <v>8440</v>
      </c>
      <c r="G102" s="67">
        <f t="shared" si="17"/>
        <v>2732</v>
      </c>
      <c r="H102" s="68">
        <f t="shared" si="18"/>
        <v>0.6432464454976303</v>
      </c>
    </row>
    <row r="103" spans="1:8" ht="15.75">
      <c r="A103" s="47">
        <v>40634</v>
      </c>
      <c r="B103" s="64">
        <v>134167</v>
      </c>
      <c r="C103" s="64">
        <f t="shared" si="15"/>
        <v>5298</v>
      </c>
      <c r="D103" s="65">
        <v>99298</v>
      </c>
      <c r="E103" s="65">
        <f t="shared" si="16"/>
        <v>116</v>
      </c>
      <c r="F103" s="66">
        <f>20*(230+136)</f>
        <v>7320</v>
      </c>
      <c r="G103" s="67">
        <f t="shared" si="17"/>
        <v>1906</v>
      </c>
      <c r="H103" s="68">
        <f t="shared" si="18"/>
        <v>0.7237704918032787</v>
      </c>
    </row>
    <row r="104" spans="1:8" ht="15.75">
      <c r="A104" s="47">
        <v>40664</v>
      </c>
      <c r="B104" s="64">
        <v>139507</v>
      </c>
      <c r="C104" s="64">
        <f t="shared" si="15"/>
        <v>5340</v>
      </c>
      <c r="D104" s="65">
        <v>99415</v>
      </c>
      <c r="E104" s="65">
        <f t="shared" si="16"/>
        <v>117</v>
      </c>
      <c r="F104" s="66">
        <f>20*(242+110)</f>
        <v>7040</v>
      </c>
      <c r="G104" s="67">
        <f t="shared" si="17"/>
        <v>1583</v>
      </c>
      <c r="H104" s="68">
        <f t="shared" si="18"/>
        <v>0.7585227272727273</v>
      </c>
    </row>
    <row r="105" spans="1:8" ht="15.75">
      <c r="A105" s="47">
        <v>40695</v>
      </c>
      <c r="B105" s="64">
        <v>144988</v>
      </c>
      <c r="C105" s="64">
        <f aca="true" t="shared" si="19" ref="C105:C128">+IF(B105=0,"",B105-B104)</f>
        <v>5481</v>
      </c>
      <c r="D105" s="65">
        <v>99561</v>
      </c>
      <c r="E105" s="65">
        <f aca="true" t="shared" si="20" ref="E105:E112">+IF(D105=0,"",D105-D104)</f>
        <v>146</v>
      </c>
      <c r="F105" s="66">
        <f>20*(237+123)</f>
        <v>7200</v>
      </c>
      <c r="G105" s="67">
        <f aca="true" t="shared" si="21" ref="G105:G110">+IF(F105=0,"",F105-E105-C105)</f>
        <v>1573</v>
      </c>
      <c r="H105" s="68">
        <f aca="true" t="shared" si="22" ref="H105:H110">+IF(F105=0,"",C105/F105)</f>
        <v>0.76125</v>
      </c>
    </row>
    <row r="106" spans="1:9" ht="15.75">
      <c r="A106" s="47">
        <v>40725</v>
      </c>
      <c r="B106" s="64">
        <v>152530</v>
      </c>
      <c r="C106" s="64">
        <f t="shared" si="19"/>
        <v>7542</v>
      </c>
      <c r="D106" s="65">
        <v>99723</v>
      </c>
      <c r="E106" s="65">
        <f t="shared" si="20"/>
        <v>162</v>
      </c>
      <c r="F106" s="66">
        <f>20*(281+170)</f>
        <v>9020</v>
      </c>
      <c r="G106" s="67">
        <f t="shared" si="21"/>
        <v>1316</v>
      </c>
      <c r="H106" s="68">
        <f t="shared" si="22"/>
        <v>0.8361419068736142</v>
      </c>
      <c r="I106" s="95">
        <f>SUM(G95:G106)</f>
        <v>29641</v>
      </c>
    </row>
    <row r="107" spans="1:8" ht="15.75">
      <c r="A107" s="47">
        <v>40756</v>
      </c>
      <c r="B107" s="64">
        <v>155679</v>
      </c>
      <c r="C107" s="64">
        <f t="shared" si="19"/>
        <v>3149</v>
      </c>
      <c r="D107" s="65">
        <v>99808</v>
      </c>
      <c r="E107" s="65">
        <f t="shared" si="20"/>
        <v>85</v>
      </c>
      <c r="F107" s="66">
        <f>20*(143+69)</f>
        <v>4240</v>
      </c>
      <c r="G107" s="67">
        <f t="shared" si="21"/>
        <v>1006</v>
      </c>
      <c r="H107" s="68">
        <f t="shared" si="22"/>
        <v>0.742688679245283</v>
      </c>
    </row>
    <row r="108" spans="1:9" ht="15.75">
      <c r="A108" s="47">
        <v>40787</v>
      </c>
      <c r="B108" s="64">
        <v>161783</v>
      </c>
      <c r="C108" s="64">
        <f t="shared" si="19"/>
        <v>6104</v>
      </c>
      <c r="D108" s="65">
        <v>101025</v>
      </c>
      <c r="E108" s="65">
        <f t="shared" si="20"/>
        <v>1217</v>
      </c>
      <c r="F108" s="66">
        <f>20*(312+163)</f>
        <v>9500</v>
      </c>
      <c r="G108" s="67">
        <f t="shared" si="21"/>
        <v>2179</v>
      </c>
      <c r="H108" s="68">
        <f t="shared" si="22"/>
        <v>0.6425263157894737</v>
      </c>
      <c r="I108" s="42" t="s">
        <v>66</v>
      </c>
    </row>
    <row r="109" spans="1:8" ht="15.75">
      <c r="A109" s="47">
        <v>40817</v>
      </c>
      <c r="B109" s="64">
        <v>166554</v>
      </c>
      <c r="C109" s="64">
        <f t="shared" si="19"/>
        <v>4771</v>
      </c>
      <c r="D109" s="65">
        <v>101447</v>
      </c>
      <c r="E109" s="65">
        <f t="shared" si="20"/>
        <v>422</v>
      </c>
      <c r="F109" s="66">
        <f>20*(228+122)</f>
        <v>7000</v>
      </c>
      <c r="G109" s="67">
        <f t="shared" si="21"/>
        <v>1807</v>
      </c>
      <c r="H109" s="68">
        <f t="shared" si="22"/>
        <v>0.6815714285714286</v>
      </c>
    </row>
    <row r="110" spans="1:8" ht="15.75">
      <c r="A110" s="47">
        <v>40848</v>
      </c>
      <c r="B110" s="64">
        <v>171817</v>
      </c>
      <c r="C110" s="64">
        <f t="shared" si="19"/>
        <v>5263</v>
      </c>
      <c r="D110" s="65">
        <v>101615</v>
      </c>
      <c r="E110" s="65">
        <f t="shared" si="20"/>
        <v>168</v>
      </c>
      <c r="F110" s="66">
        <f>20*(304+129)</f>
        <v>8660</v>
      </c>
      <c r="G110" s="67">
        <f t="shared" si="21"/>
        <v>3229</v>
      </c>
      <c r="H110" s="68">
        <f t="shared" si="22"/>
        <v>0.6077367205542725</v>
      </c>
    </row>
    <row r="111" spans="1:8" ht="15.75">
      <c r="A111" s="47">
        <v>40878</v>
      </c>
      <c r="B111" s="64">
        <v>177544</v>
      </c>
      <c r="C111" s="64">
        <f t="shared" si="19"/>
        <v>5727</v>
      </c>
      <c r="D111" s="65">
        <v>101768</v>
      </c>
      <c r="E111" s="65">
        <f t="shared" si="20"/>
        <v>153</v>
      </c>
      <c r="F111" s="66">
        <f>20*(295+137)</f>
        <v>8640</v>
      </c>
      <c r="G111" s="67">
        <f aca="true" t="shared" si="23" ref="G111:G116">+IF(F111=0,"",F111-E111-C111)</f>
        <v>2760</v>
      </c>
      <c r="H111" s="68">
        <f aca="true" t="shared" si="24" ref="H111:H116">+IF(F111=0,"",C111/F111)</f>
        <v>0.6628472222222223</v>
      </c>
    </row>
    <row r="112" spans="1:8" ht="15.75">
      <c r="A112" s="47">
        <v>40909</v>
      </c>
      <c r="B112" s="64">
        <v>182310</v>
      </c>
      <c r="C112" s="64">
        <f t="shared" si="19"/>
        <v>4766</v>
      </c>
      <c r="D112" s="65">
        <v>101906</v>
      </c>
      <c r="E112" s="65">
        <f t="shared" si="20"/>
        <v>138</v>
      </c>
      <c r="F112" s="66">
        <f>20*(269+115)</f>
        <v>7680</v>
      </c>
      <c r="G112" s="67">
        <f t="shared" si="23"/>
        <v>2776</v>
      </c>
      <c r="H112" s="68">
        <f t="shared" si="24"/>
        <v>0.6205729166666667</v>
      </c>
    </row>
    <row r="113" spans="1:8" ht="15.75">
      <c r="A113" s="47">
        <v>40940</v>
      </c>
      <c r="B113" s="64">
        <v>187300</v>
      </c>
      <c r="C113" s="64">
        <f t="shared" si="19"/>
        <v>4990</v>
      </c>
      <c r="D113" s="65">
        <v>102046</v>
      </c>
      <c r="E113" s="65">
        <f aca="true" t="shared" si="25" ref="E113:E118">+IF(D113=0,"",D113-D112)</f>
        <v>140</v>
      </c>
      <c r="F113" s="66">
        <f>20*(269+115)</f>
        <v>7680</v>
      </c>
      <c r="G113" s="67">
        <f t="shared" si="23"/>
        <v>2550</v>
      </c>
      <c r="H113" s="68">
        <f t="shared" si="24"/>
        <v>0.6497395833333334</v>
      </c>
    </row>
    <row r="114" spans="1:8" ht="15.75">
      <c r="A114" s="47">
        <v>40969</v>
      </c>
      <c r="B114" s="64">
        <v>194105</v>
      </c>
      <c r="C114" s="64">
        <f t="shared" si="19"/>
        <v>6805</v>
      </c>
      <c r="D114" s="65">
        <v>102240</v>
      </c>
      <c r="E114" s="65">
        <f t="shared" si="25"/>
        <v>194</v>
      </c>
      <c r="F114" s="66">
        <f>20*(316+165)</f>
        <v>9620</v>
      </c>
      <c r="G114" s="67">
        <f t="shared" si="23"/>
        <v>2621</v>
      </c>
      <c r="H114" s="68">
        <f t="shared" si="24"/>
        <v>0.7073804573804574</v>
      </c>
    </row>
    <row r="115" spans="1:8" ht="15.75">
      <c r="A115" s="47">
        <v>41000</v>
      </c>
      <c r="B115" s="64">
        <v>198663</v>
      </c>
      <c r="C115" s="64">
        <f t="shared" si="19"/>
        <v>4558</v>
      </c>
      <c r="D115" s="65">
        <v>102350</v>
      </c>
      <c r="E115" s="65">
        <f t="shared" si="25"/>
        <v>110</v>
      </c>
      <c r="F115" s="66">
        <f>20*(316+165)</f>
        <v>9620</v>
      </c>
      <c r="G115" s="67">
        <f t="shared" si="23"/>
        <v>4952</v>
      </c>
      <c r="H115" s="68">
        <f t="shared" si="24"/>
        <v>0.4738045738045738</v>
      </c>
    </row>
    <row r="116" spans="1:8" ht="15.75">
      <c r="A116" s="47">
        <v>41030</v>
      </c>
      <c r="B116" s="64">
        <v>203307</v>
      </c>
      <c r="C116" s="64">
        <f t="shared" si="19"/>
        <v>4644</v>
      </c>
      <c r="D116" s="65">
        <v>102471</v>
      </c>
      <c r="E116" s="65">
        <f t="shared" si="25"/>
        <v>121</v>
      </c>
      <c r="F116" s="66">
        <f>20*(242+132)</f>
        <v>7480</v>
      </c>
      <c r="G116" s="67">
        <f t="shared" si="23"/>
        <v>2715</v>
      </c>
      <c r="H116" s="68">
        <f t="shared" si="24"/>
        <v>0.620855614973262</v>
      </c>
    </row>
    <row r="117" spans="1:8" ht="15.75">
      <c r="A117" s="47">
        <v>41061</v>
      </c>
      <c r="B117" s="64">
        <v>209599</v>
      </c>
      <c r="C117" s="64">
        <f t="shared" si="19"/>
        <v>6292</v>
      </c>
      <c r="D117" s="65">
        <v>102602</v>
      </c>
      <c r="E117" s="65">
        <f t="shared" si="25"/>
        <v>131</v>
      </c>
      <c r="F117" s="66">
        <f>20*(262+140)</f>
        <v>8040</v>
      </c>
      <c r="G117" s="67">
        <f aca="true" t="shared" si="26" ref="G117:G123">+IF(F117=0,"",F117-E117-C117)</f>
        <v>1617</v>
      </c>
      <c r="H117" s="68">
        <f aca="true" t="shared" si="27" ref="H117:H123">+IF(F117=0,"",C117/F117)</f>
        <v>0.7825870646766169</v>
      </c>
    </row>
    <row r="118" spans="1:8" ht="15.75">
      <c r="A118" s="47">
        <v>41091</v>
      </c>
      <c r="B118" s="64">
        <v>216123</v>
      </c>
      <c r="C118" s="64">
        <f t="shared" si="19"/>
        <v>6524</v>
      </c>
      <c r="D118" s="65">
        <v>102764</v>
      </c>
      <c r="E118" s="65">
        <f t="shared" si="25"/>
        <v>162</v>
      </c>
      <c r="F118" s="66">
        <v>7850</v>
      </c>
      <c r="G118" s="67">
        <f t="shared" si="26"/>
        <v>1164</v>
      </c>
      <c r="H118" s="68">
        <f t="shared" si="27"/>
        <v>0.8310828025477707</v>
      </c>
    </row>
    <row r="119" spans="1:8" ht="15.75">
      <c r="A119" s="47">
        <v>41122</v>
      </c>
      <c r="B119" s="64">
        <v>220377</v>
      </c>
      <c r="C119" s="64">
        <f t="shared" si="19"/>
        <v>4254</v>
      </c>
      <c r="D119" s="65">
        <v>102786</v>
      </c>
      <c r="E119" s="65">
        <f aca="true" t="shared" si="28" ref="E119:E125">+IF(D119=0,"",D119-D118)</f>
        <v>22</v>
      </c>
      <c r="F119" s="66">
        <v>5357</v>
      </c>
      <c r="G119" s="67">
        <f t="shared" si="26"/>
        <v>1081</v>
      </c>
      <c r="H119" s="68">
        <f t="shared" si="27"/>
        <v>0.7941011760313609</v>
      </c>
    </row>
    <row r="120" spans="1:8" ht="15.75">
      <c r="A120" s="47">
        <v>41153</v>
      </c>
      <c r="B120" s="64">
        <v>225016</v>
      </c>
      <c r="C120" s="64">
        <f t="shared" si="19"/>
        <v>4639</v>
      </c>
      <c r="D120" s="65">
        <v>102912</v>
      </c>
      <c r="E120" s="65">
        <f t="shared" si="28"/>
        <v>126</v>
      </c>
      <c r="F120" s="66">
        <v>6977</v>
      </c>
      <c r="G120" s="67">
        <f t="shared" si="26"/>
        <v>2212</v>
      </c>
      <c r="H120" s="68">
        <f t="shared" si="27"/>
        <v>0.6648989537050308</v>
      </c>
    </row>
    <row r="121" spans="1:8" ht="15.75">
      <c r="A121" s="47">
        <v>41183</v>
      </c>
      <c r="B121" s="64">
        <v>229091</v>
      </c>
      <c r="C121" s="64">
        <f t="shared" si="19"/>
        <v>4075</v>
      </c>
      <c r="D121" s="65">
        <v>103045</v>
      </c>
      <c r="E121" s="65">
        <f t="shared" si="28"/>
        <v>133</v>
      </c>
      <c r="F121" s="66">
        <v>7241</v>
      </c>
      <c r="G121" s="67">
        <f t="shared" si="26"/>
        <v>3033</v>
      </c>
      <c r="H121" s="68">
        <f t="shared" si="27"/>
        <v>0.5627675735395664</v>
      </c>
    </row>
    <row r="122" spans="1:8" ht="15.75">
      <c r="A122" s="47">
        <v>41214</v>
      </c>
      <c r="B122" s="64">
        <v>235364</v>
      </c>
      <c r="C122" s="64">
        <f t="shared" si="19"/>
        <v>6273</v>
      </c>
      <c r="D122" s="65">
        <v>103215</v>
      </c>
      <c r="E122" s="65">
        <f t="shared" si="28"/>
        <v>170</v>
      </c>
      <c r="F122" s="66">
        <v>7876</v>
      </c>
      <c r="G122" s="67">
        <f t="shared" si="26"/>
        <v>1433</v>
      </c>
      <c r="H122" s="68">
        <f t="shared" si="27"/>
        <v>0.7964702894870492</v>
      </c>
    </row>
    <row r="123" spans="1:8" ht="15.75">
      <c r="A123" s="47">
        <v>41244</v>
      </c>
      <c r="B123" s="64">
        <v>240778</v>
      </c>
      <c r="C123" s="64">
        <f t="shared" si="19"/>
        <v>5414</v>
      </c>
      <c r="D123" s="65">
        <v>103354</v>
      </c>
      <c r="E123" s="65">
        <f t="shared" si="28"/>
        <v>139</v>
      </c>
      <c r="F123" s="66">
        <v>7398</v>
      </c>
      <c r="G123" s="67">
        <f t="shared" si="26"/>
        <v>1845</v>
      </c>
      <c r="H123" s="68">
        <f t="shared" si="27"/>
        <v>0.7318194106515274</v>
      </c>
    </row>
    <row r="124" spans="1:8" ht="15.75">
      <c r="A124" s="47">
        <v>41275</v>
      </c>
      <c r="B124" s="64">
        <v>245526</v>
      </c>
      <c r="C124" s="64">
        <f t="shared" si="19"/>
        <v>4748</v>
      </c>
      <c r="D124" s="65">
        <v>103516</v>
      </c>
      <c r="E124" s="65">
        <f t="shared" si="28"/>
        <v>162</v>
      </c>
      <c r="F124" s="66">
        <v>7399</v>
      </c>
      <c r="G124" s="67">
        <f aca="true" t="shared" si="29" ref="G124:G131">+IF(F124=0,"",F124-E124-C124)</f>
        <v>2489</v>
      </c>
      <c r="H124" s="68">
        <f aca="true" t="shared" si="30" ref="H124:H131">+IF(F124=0,"",C124/F124)</f>
        <v>0.641708338964725</v>
      </c>
    </row>
    <row r="125" spans="1:8" ht="15.75">
      <c r="A125" s="47">
        <v>41306</v>
      </c>
      <c r="B125" s="64">
        <v>249784</v>
      </c>
      <c r="C125" s="64">
        <f t="shared" si="19"/>
        <v>4258</v>
      </c>
      <c r="D125" s="65">
        <v>103642</v>
      </c>
      <c r="E125" s="65">
        <f t="shared" si="28"/>
        <v>126</v>
      </c>
      <c r="F125" s="66">
        <f>20*(244+104)</f>
        <v>6960</v>
      </c>
      <c r="G125" s="67">
        <f t="shared" si="29"/>
        <v>2576</v>
      </c>
      <c r="H125" s="68">
        <f t="shared" si="30"/>
        <v>0.6117816091954023</v>
      </c>
    </row>
    <row r="126" spans="1:8" ht="15.75">
      <c r="A126" s="47">
        <v>41334</v>
      </c>
      <c r="B126" s="64">
        <v>254699</v>
      </c>
      <c r="C126" s="64">
        <f t="shared" si="19"/>
        <v>4915</v>
      </c>
      <c r="D126" s="65">
        <v>103733</v>
      </c>
      <c r="E126" s="65">
        <f>+IF(D126=0,"",D126-D125)</f>
        <v>91</v>
      </c>
      <c r="F126" s="66">
        <f>20*(244+104)</f>
        <v>6960</v>
      </c>
      <c r="G126" s="67">
        <f t="shared" si="29"/>
        <v>1954</v>
      </c>
      <c r="H126" s="68">
        <f t="shared" si="30"/>
        <v>0.7061781609195402</v>
      </c>
    </row>
    <row r="127" spans="1:8" ht="15.75">
      <c r="A127" s="47">
        <v>41365</v>
      </c>
      <c r="B127" s="64">
        <v>259695</v>
      </c>
      <c r="C127" s="64">
        <f t="shared" si="19"/>
        <v>4996</v>
      </c>
      <c r="D127" s="65">
        <v>103838</v>
      </c>
      <c r="E127" s="65">
        <f>+IF(D127=0,"",D127-D126)</f>
        <v>105</v>
      </c>
      <c r="F127" s="66">
        <f>20*(244+104)</f>
        <v>6960</v>
      </c>
      <c r="G127" s="67">
        <f t="shared" si="29"/>
        <v>1859</v>
      </c>
      <c r="H127" s="68">
        <f t="shared" si="30"/>
        <v>0.717816091954023</v>
      </c>
    </row>
    <row r="128" spans="1:8" ht="15.75">
      <c r="A128" s="47">
        <v>41395</v>
      </c>
      <c r="B128" s="64">
        <v>264762</v>
      </c>
      <c r="C128" s="64">
        <f t="shared" si="19"/>
        <v>5067</v>
      </c>
      <c r="D128" s="65">
        <v>103965</v>
      </c>
      <c r="E128" s="65">
        <f>+IF(D128=0,"",D128-D127)</f>
        <v>127</v>
      </c>
      <c r="F128" s="66">
        <f>20*(244+104)</f>
        <v>6960</v>
      </c>
      <c r="G128" s="67">
        <f t="shared" si="29"/>
        <v>1766</v>
      </c>
      <c r="H128" s="68">
        <f t="shared" si="30"/>
        <v>0.7280172413793103</v>
      </c>
    </row>
    <row r="129" spans="1:8" ht="15.75">
      <c r="A129" s="47">
        <v>41426</v>
      </c>
      <c r="B129" s="64">
        <v>269259</v>
      </c>
      <c r="C129" s="64">
        <f>+IF(B129=0,"",B129-B128)</f>
        <v>4497</v>
      </c>
      <c r="D129" s="65">
        <v>104078</v>
      </c>
      <c r="E129" s="65">
        <f>+IF(D129=0,"",D129-D128)</f>
        <v>113</v>
      </c>
      <c r="F129" s="66">
        <f>20*(196+101)</f>
        <v>5940</v>
      </c>
      <c r="G129" s="67">
        <f t="shared" si="29"/>
        <v>1330</v>
      </c>
      <c r="H129" s="68">
        <f t="shared" si="30"/>
        <v>0.7570707070707071</v>
      </c>
    </row>
    <row r="130" spans="1:8" ht="15.75">
      <c r="A130" s="47">
        <v>41456</v>
      </c>
      <c r="B130" s="64">
        <v>274251</v>
      </c>
      <c r="C130" s="64">
        <f>+IF(B130=0,"",B130-B129)</f>
        <v>4992</v>
      </c>
      <c r="D130" s="65">
        <v>104174</v>
      </c>
      <c r="E130" s="65">
        <f>+IF(D130=0,"",D130-D129)</f>
        <v>96</v>
      </c>
      <c r="F130" s="66">
        <f>20*(181+118)</f>
        <v>5980</v>
      </c>
      <c r="G130" s="67">
        <f t="shared" si="29"/>
        <v>892</v>
      </c>
      <c r="H130" s="68">
        <f t="shared" si="30"/>
        <v>0.8347826086956521</v>
      </c>
    </row>
    <row r="131" spans="1:8" ht="15.75">
      <c r="A131" s="47">
        <v>41487</v>
      </c>
      <c r="B131" s="64">
        <v>278177</v>
      </c>
      <c r="C131" s="64">
        <f aca="true" t="shared" si="31" ref="C131:C154">+IF(B131=0,"",B131-B130)</f>
        <v>3926</v>
      </c>
      <c r="D131" s="65">
        <v>104280</v>
      </c>
      <c r="E131" s="65">
        <f aca="true" t="shared" si="32" ref="E131:E154">+IF(D131=0,"",D131-D130)</f>
        <v>106</v>
      </c>
      <c r="F131" s="66">
        <f>20*(177+90)</f>
        <v>5340</v>
      </c>
      <c r="G131" s="67">
        <f t="shared" si="29"/>
        <v>1308</v>
      </c>
      <c r="H131" s="68">
        <f t="shared" si="30"/>
        <v>0.7352059925093632</v>
      </c>
    </row>
    <row r="132" spans="1:8" ht="15.75">
      <c r="A132" s="47">
        <v>41518</v>
      </c>
      <c r="B132" s="64">
        <v>282499</v>
      </c>
      <c r="C132" s="64">
        <f t="shared" si="31"/>
        <v>4322</v>
      </c>
      <c r="D132" s="65">
        <v>104400</v>
      </c>
      <c r="E132" s="65">
        <f t="shared" si="32"/>
        <v>120</v>
      </c>
      <c r="F132" s="66">
        <f>20*(234+99)</f>
        <v>6660</v>
      </c>
      <c r="G132" s="67">
        <f aca="true" t="shared" si="33" ref="G132:G154">+IF(F132=0,"",F132-E132-C132)</f>
        <v>2218</v>
      </c>
      <c r="H132" s="68">
        <f aca="true" t="shared" si="34" ref="H132:H154">+IF(F132=0,"",C132/F132)</f>
        <v>0.648948948948949</v>
      </c>
    </row>
    <row r="133" spans="1:8" ht="15.75">
      <c r="A133" s="47">
        <v>41548</v>
      </c>
      <c r="B133" s="64">
        <v>287005</v>
      </c>
      <c r="C133" s="64">
        <f t="shared" si="31"/>
        <v>4506</v>
      </c>
      <c r="D133" s="65">
        <v>104530</v>
      </c>
      <c r="E133" s="65">
        <f t="shared" si="32"/>
        <v>130</v>
      </c>
      <c r="F133" s="66">
        <f>20*(213+110)</f>
        <v>6460</v>
      </c>
      <c r="G133" s="67">
        <f t="shared" si="33"/>
        <v>1824</v>
      </c>
      <c r="H133" s="68">
        <f t="shared" si="34"/>
        <v>0.6975232198142415</v>
      </c>
    </row>
    <row r="134" spans="1:8" ht="15.75">
      <c r="A134" s="47">
        <v>41579</v>
      </c>
      <c r="B134" s="64">
        <v>291730</v>
      </c>
      <c r="C134" s="64">
        <f t="shared" si="31"/>
        <v>4725</v>
      </c>
      <c r="D134" s="65">
        <v>104703</v>
      </c>
      <c r="E134" s="65">
        <f t="shared" si="32"/>
        <v>173</v>
      </c>
      <c r="F134" s="66">
        <f>20*(280+115)</f>
        <v>7900</v>
      </c>
      <c r="G134" s="67">
        <f t="shared" si="33"/>
        <v>3002</v>
      </c>
      <c r="H134" s="68">
        <f t="shared" si="34"/>
        <v>0.5981012658227848</v>
      </c>
    </row>
    <row r="135" spans="1:8" ht="15.75">
      <c r="A135" s="47">
        <v>41609</v>
      </c>
      <c r="B135" s="64">
        <v>296544</v>
      </c>
      <c r="C135" s="64">
        <f t="shared" si="31"/>
        <v>4814</v>
      </c>
      <c r="D135" s="65">
        <v>104855</v>
      </c>
      <c r="E135" s="65">
        <f t="shared" si="32"/>
        <v>152</v>
      </c>
      <c r="F135" s="66">
        <f>20*(258+119)</f>
        <v>7540</v>
      </c>
      <c r="G135" s="67">
        <f t="shared" si="33"/>
        <v>2574</v>
      </c>
      <c r="H135" s="68">
        <f t="shared" si="34"/>
        <v>0.6384615384615384</v>
      </c>
    </row>
    <row r="136" spans="1:8" ht="15.75">
      <c r="A136" s="47">
        <v>41640</v>
      </c>
      <c r="B136" s="64">
        <v>300749</v>
      </c>
      <c r="C136" s="64">
        <f t="shared" si="31"/>
        <v>4205</v>
      </c>
      <c r="D136" s="65">
        <v>105006</v>
      </c>
      <c r="E136" s="65">
        <f t="shared" si="32"/>
        <v>151</v>
      </c>
      <c r="F136" s="66">
        <f>20*(261+98)</f>
        <v>7180</v>
      </c>
      <c r="G136" s="67">
        <f t="shared" si="33"/>
        <v>2824</v>
      </c>
      <c r="H136" s="68">
        <f t="shared" si="34"/>
        <v>0.5856545961002786</v>
      </c>
    </row>
    <row r="137" spans="1:8" ht="15.75">
      <c r="A137" s="47">
        <v>41671</v>
      </c>
      <c r="B137" s="64">
        <v>304033</v>
      </c>
      <c r="C137" s="64">
        <f t="shared" si="31"/>
        <v>3284</v>
      </c>
      <c r="D137" s="65">
        <v>105137</v>
      </c>
      <c r="E137" s="65">
        <f t="shared" si="32"/>
        <v>131</v>
      </c>
      <c r="F137" s="66">
        <f>20*(244+98)</f>
        <v>6840</v>
      </c>
      <c r="G137" s="67">
        <f t="shared" si="33"/>
        <v>3425</v>
      </c>
      <c r="H137" s="68">
        <f t="shared" si="34"/>
        <v>0.4801169590643275</v>
      </c>
    </row>
    <row r="138" spans="1:8" ht="15.75">
      <c r="A138" s="47">
        <v>41699</v>
      </c>
      <c r="B138" s="64">
        <v>307952</v>
      </c>
      <c r="C138" s="64">
        <f t="shared" si="31"/>
        <v>3919</v>
      </c>
      <c r="D138" s="65">
        <v>105280</v>
      </c>
      <c r="E138" s="65">
        <f t="shared" si="32"/>
        <v>143</v>
      </c>
      <c r="F138" s="66">
        <f>20*(213+98)</f>
        <v>6220</v>
      </c>
      <c r="G138" s="67">
        <f t="shared" si="33"/>
        <v>2158</v>
      </c>
      <c r="H138" s="68">
        <f t="shared" si="34"/>
        <v>0.6300643086816721</v>
      </c>
    </row>
    <row r="139" spans="1:8" ht="15.75">
      <c r="A139" s="47">
        <v>41730</v>
      </c>
      <c r="B139" s="64">
        <v>311973</v>
      </c>
      <c r="C139" s="64">
        <f t="shared" si="31"/>
        <v>4021</v>
      </c>
      <c r="D139" s="65">
        <v>105379</v>
      </c>
      <c r="E139" s="65">
        <f t="shared" si="32"/>
        <v>99</v>
      </c>
      <c r="F139" s="66">
        <f>20*(177+99)</f>
        <v>5520</v>
      </c>
      <c r="G139" s="67">
        <f t="shared" si="33"/>
        <v>1400</v>
      </c>
      <c r="H139" s="68">
        <f t="shared" si="34"/>
        <v>0.7284420289855073</v>
      </c>
    </row>
    <row r="140" spans="1:8" ht="15.75">
      <c r="A140" s="47">
        <v>41760</v>
      </c>
      <c r="B140" s="64">
        <v>317409</v>
      </c>
      <c r="C140" s="64">
        <f t="shared" si="31"/>
        <v>5436</v>
      </c>
      <c r="D140" s="65">
        <v>105521</v>
      </c>
      <c r="E140" s="65">
        <f t="shared" si="32"/>
        <v>142</v>
      </c>
      <c r="F140" s="66">
        <f>20*(227+113)</f>
        <v>6800</v>
      </c>
      <c r="G140" s="67">
        <f t="shared" si="33"/>
        <v>1222</v>
      </c>
      <c r="H140" s="68">
        <f t="shared" si="34"/>
        <v>0.7994117647058824</v>
      </c>
    </row>
    <row r="141" spans="1:8" ht="15.75">
      <c r="A141" s="47">
        <v>41791</v>
      </c>
      <c r="B141" s="64">
        <v>321594</v>
      </c>
      <c r="C141" s="64">
        <f t="shared" si="31"/>
        <v>4185</v>
      </c>
      <c r="D141" s="65">
        <v>105648</v>
      </c>
      <c r="E141" s="65">
        <f t="shared" si="32"/>
        <v>127</v>
      </c>
      <c r="F141" s="66">
        <f>20*(198+95)</f>
        <v>5860</v>
      </c>
      <c r="G141" s="67">
        <f t="shared" si="33"/>
        <v>1548</v>
      </c>
      <c r="H141" s="68">
        <f t="shared" si="34"/>
        <v>0.7141638225255973</v>
      </c>
    </row>
    <row r="142" spans="1:8" ht="15.75">
      <c r="A142" s="47">
        <v>41821</v>
      </c>
      <c r="B142" s="64">
        <v>325500</v>
      </c>
      <c r="C142" s="64">
        <f t="shared" si="31"/>
        <v>3906</v>
      </c>
      <c r="D142" s="65">
        <v>105750</v>
      </c>
      <c r="E142" s="65">
        <f t="shared" si="32"/>
        <v>102</v>
      </c>
      <c r="F142" s="66">
        <v>6133</v>
      </c>
      <c r="G142" s="67">
        <f t="shared" si="33"/>
        <v>2125</v>
      </c>
      <c r="H142" s="68">
        <f t="shared" si="34"/>
        <v>0.6368824392630035</v>
      </c>
    </row>
    <row r="143" spans="1:8" ht="15.75">
      <c r="A143" s="47">
        <v>41852</v>
      </c>
      <c r="B143" s="64">
        <v>330111</v>
      </c>
      <c r="C143" s="64">
        <f t="shared" si="31"/>
        <v>4611</v>
      </c>
      <c r="D143" s="65">
        <v>105861</v>
      </c>
      <c r="E143" s="65">
        <f t="shared" si="32"/>
        <v>111</v>
      </c>
      <c r="F143" s="66">
        <f>20*(144+98)</f>
        <v>4840</v>
      </c>
      <c r="G143" s="67">
        <f t="shared" si="33"/>
        <v>118</v>
      </c>
      <c r="H143" s="68">
        <f t="shared" si="34"/>
        <v>0.9526859504132231</v>
      </c>
    </row>
    <row r="144" spans="1:8" ht="15.75">
      <c r="A144" s="47">
        <v>41883</v>
      </c>
      <c r="B144" s="64">
        <v>334764</v>
      </c>
      <c r="C144" s="64">
        <f t="shared" si="31"/>
        <v>4653</v>
      </c>
      <c r="D144" s="65">
        <v>105992</v>
      </c>
      <c r="E144" s="65">
        <f t="shared" si="32"/>
        <v>131</v>
      </c>
      <c r="F144" s="66">
        <f>20*(243.5+104)</f>
        <v>6950</v>
      </c>
      <c r="G144" s="67">
        <f t="shared" si="33"/>
        <v>2166</v>
      </c>
      <c r="H144" s="68">
        <f t="shared" si="34"/>
        <v>0.6694964028776978</v>
      </c>
    </row>
    <row r="145" spans="1:8" ht="15.75">
      <c r="A145" s="47">
        <v>41913</v>
      </c>
      <c r="B145" s="122">
        <v>339846</v>
      </c>
      <c r="C145" s="64">
        <f t="shared" si="31"/>
        <v>5082</v>
      </c>
      <c r="D145" s="65">
        <v>106137</v>
      </c>
      <c r="E145" s="65">
        <f t="shared" si="32"/>
        <v>145</v>
      </c>
      <c r="F145" s="66">
        <f>20*(243.5+119)</f>
        <v>7250</v>
      </c>
      <c r="G145" s="67">
        <f t="shared" si="33"/>
        <v>2023</v>
      </c>
      <c r="H145" s="68">
        <f t="shared" si="34"/>
        <v>0.7009655172413793</v>
      </c>
    </row>
    <row r="146" spans="1:8" ht="15.75">
      <c r="A146" s="47">
        <v>41944</v>
      </c>
      <c r="B146" s="64">
        <v>344481</v>
      </c>
      <c r="C146" s="64">
        <f t="shared" si="31"/>
        <v>4635</v>
      </c>
      <c r="D146" s="65">
        <v>106254</v>
      </c>
      <c r="E146" s="65">
        <f t="shared" si="32"/>
        <v>117</v>
      </c>
      <c r="F146" s="66">
        <f>20*(259+111)</f>
        <v>7400</v>
      </c>
      <c r="G146" s="67">
        <f t="shared" si="33"/>
        <v>2648</v>
      </c>
      <c r="H146" s="68">
        <f t="shared" si="34"/>
        <v>0.6263513513513513</v>
      </c>
    </row>
    <row r="147" spans="1:8" ht="15.75">
      <c r="A147" s="47">
        <v>41974</v>
      </c>
      <c r="B147" s="64">
        <v>349420</v>
      </c>
      <c r="C147" s="64">
        <f t="shared" si="31"/>
        <v>4939</v>
      </c>
      <c r="D147" s="65">
        <v>106392</v>
      </c>
      <c r="E147" s="65">
        <f t="shared" si="32"/>
        <v>138</v>
      </c>
      <c r="F147" s="66">
        <f>20*(260+117)</f>
        <v>7540</v>
      </c>
      <c r="G147" s="67">
        <f t="shared" si="33"/>
        <v>2463</v>
      </c>
      <c r="H147" s="68">
        <f t="shared" si="34"/>
        <v>0.6550397877984084</v>
      </c>
    </row>
    <row r="148" spans="1:8" ht="15.75">
      <c r="A148" s="47">
        <v>42005</v>
      </c>
      <c r="B148" s="64">
        <v>353925</v>
      </c>
      <c r="C148" s="64">
        <f t="shared" si="31"/>
        <v>4505</v>
      </c>
      <c r="D148" s="65">
        <v>106576</v>
      </c>
      <c r="E148" s="65">
        <f t="shared" si="32"/>
        <v>184</v>
      </c>
      <c r="F148" s="66">
        <f>20*(279+105)</f>
        <v>7680</v>
      </c>
      <c r="G148" s="67">
        <f t="shared" si="33"/>
        <v>2991</v>
      </c>
      <c r="H148" s="68">
        <f t="shared" si="34"/>
        <v>0.5865885416666666</v>
      </c>
    </row>
    <row r="149" spans="1:8" ht="15.75">
      <c r="A149" s="47">
        <v>42036</v>
      </c>
      <c r="B149" s="64">
        <v>358370</v>
      </c>
      <c r="C149" s="64">
        <f t="shared" si="31"/>
        <v>4445</v>
      </c>
      <c r="D149" s="65">
        <v>106711</v>
      </c>
      <c r="E149" s="65">
        <f t="shared" si="32"/>
        <v>135</v>
      </c>
      <c r="F149" s="66">
        <f>20*(256+105)</f>
        <v>7220</v>
      </c>
      <c r="G149" s="67">
        <f t="shared" si="33"/>
        <v>2640</v>
      </c>
      <c r="H149" s="68">
        <f t="shared" si="34"/>
        <v>0.6156509695290858</v>
      </c>
    </row>
    <row r="150" spans="1:8" ht="15.75">
      <c r="A150" s="47">
        <v>42064</v>
      </c>
      <c r="B150" s="64">
        <v>362782</v>
      </c>
      <c r="C150" s="64">
        <f t="shared" si="31"/>
        <v>4412</v>
      </c>
      <c r="D150" s="65">
        <v>106841</v>
      </c>
      <c r="E150" s="65">
        <f t="shared" si="32"/>
        <v>130</v>
      </c>
      <c r="F150" s="66">
        <f>20*(222+113)</f>
        <v>6700</v>
      </c>
      <c r="G150" s="67">
        <f t="shared" si="33"/>
        <v>2158</v>
      </c>
      <c r="H150" s="68">
        <f t="shared" si="34"/>
        <v>0.6585074626865671</v>
      </c>
    </row>
    <row r="151" spans="1:8" ht="15.75">
      <c r="A151" s="47">
        <v>42095</v>
      </c>
      <c r="B151" s="64">
        <v>367309</v>
      </c>
      <c r="C151" s="64">
        <f t="shared" si="31"/>
        <v>4527</v>
      </c>
      <c r="D151" s="65">
        <v>106963</v>
      </c>
      <c r="E151" s="65">
        <f t="shared" si="32"/>
        <v>122</v>
      </c>
      <c r="F151" s="66">
        <f>20*(327)</f>
        <v>6540</v>
      </c>
      <c r="G151" s="67">
        <f t="shared" si="33"/>
        <v>1891</v>
      </c>
      <c r="H151" s="68">
        <f t="shared" si="34"/>
        <v>0.6922018348623853</v>
      </c>
    </row>
    <row r="152" spans="1:8" ht="15.75">
      <c r="A152" s="47">
        <v>42125</v>
      </c>
      <c r="B152" s="64">
        <v>371073</v>
      </c>
      <c r="C152" s="64">
        <f t="shared" si="31"/>
        <v>3764</v>
      </c>
      <c r="D152" s="65">
        <v>107128</v>
      </c>
      <c r="E152" s="65">
        <f t="shared" si="32"/>
        <v>165</v>
      </c>
      <c r="F152" s="66">
        <f>20*282</f>
        <v>5640</v>
      </c>
      <c r="G152" s="67">
        <f t="shared" si="33"/>
        <v>1711</v>
      </c>
      <c r="H152" s="68">
        <f t="shared" si="34"/>
        <v>0.6673758865248227</v>
      </c>
    </row>
    <row r="153" spans="1:8" ht="15.75">
      <c r="A153" s="47">
        <v>42156</v>
      </c>
      <c r="B153" s="64">
        <v>375290</v>
      </c>
      <c r="C153" s="64">
        <f t="shared" si="31"/>
        <v>4217</v>
      </c>
      <c r="D153" s="65">
        <v>107226</v>
      </c>
      <c r="E153" s="65">
        <f t="shared" si="32"/>
        <v>98</v>
      </c>
      <c r="F153" s="66">
        <f>20*311</f>
        <v>6220</v>
      </c>
      <c r="G153" s="67">
        <f t="shared" si="33"/>
        <v>1905</v>
      </c>
      <c r="H153" s="68">
        <f t="shared" si="34"/>
        <v>0.6779742765273312</v>
      </c>
    </row>
    <row r="154" spans="1:8" ht="15.75">
      <c r="A154" s="47">
        <v>42186</v>
      </c>
      <c r="B154" s="64">
        <f>+B153+4217</f>
        <v>379507</v>
      </c>
      <c r="C154" s="64">
        <f t="shared" si="31"/>
        <v>4217</v>
      </c>
      <c r="D154" s="65">
        <f>107226+98</f>
        <v>107324</v>
      </c>
      <c r="E154" s="65">
        <f t="shared" si="32"/>
        <v>98</v>
      </c>
      <c r="F154" s="66">
        <v>6220</v>
      </c>
      <c r="G154" s="67">
        <f t="shared" si="33"/>
        <v>1905</v>
      </c>
      <c r="H154" s="68">
        <f t="shared" si="34"/>
        <v>0.6779742765273312</v>
      </c>
    </row>
    <row r="155" spans="1:8" ht="15.75">
      <c r="A155" s="47">
        <v>42217</v>
      </c>
      <c r="B155" s="64">
        <v>383232</v>
      </c>
      <c r="C155" s="64">
        <f aca="true" t="shared" si="35" ref="C155:C185">+IF(B155=0,"",B155-B154)</f>
        <v>3725</v>
      </c>
      <c r="D155" s="65">
        <v>107400</v>
      </c>
      <c r="E155" s="65">
        <f aca="true" t="shared" si="36" ref="E155:E185">+IF(D155=0,"",D155-D154)</f>
        <v>76</v>
      </c>
      <c r="F155" s="66">
        <f>20*229</f>
        <v>4580</v>
      </c>
      <c r="G155" s="67">
        <f aca="true" t="shared" si="37" ref="G155:G185">+IF(F155=0,"",F155-E155-C155)</f>
        <v>779</v>
      </c>
      <c r="H155" s="68">
        <f aca="true" t="shared" si="38" ref="H155:H185">+IF(F155=0,"",C155/F155)</f>
        <v>0.8133187772925764</v>
      </c>
    </row>
    <row r="156" spans="1:8" ht="15.75">
      <c r="A156" s="47">
        <v>42248</v>
      </c>
      <c r="B156" s="64">
        <v>386887</v>
      </c>
      <c r="C156" s="64">
        <f t="shared" si="35"/>
        <v>3655</v>
      </c>
      <c r="D156" s="65">
        <v>107525</v>
      </c>
      <c r="E156" s="65">
        <f t="shared" si="36"/>
        <v>125</v>
      </c>
      <c r="F156" s="66">
        <f>20*(300)</f>
        <v>6000</v>
      </c>
      <c r="G156" s="67">
        <f t="shared" si="37"/>
        <v>2220</v>
      </c>
      <c r="H156" s="68">
        <f t="shared" si="38"/>
        <v>0.6091666666666666</v>
      </c>
    </row>
    <row r="157" spans="1:8" ht="15.75">
      <c r="A157" s="47">
        <v>42278</v>
      </c>
      <c r="B157" s="64">
        <v>391020</v>
      </c>
      <c r="C157" s="64">
        <f t="shared" si="35"/>
        <v>4133</v>
      </c>
      <c r="D157" s="65">
        <v>107675</v>
      </c>
      <c r="E157" s="65">
        <f t="shared" si="36"/>
        <v>150</v>
      </c>
      <c r="F157" s="66">
        <f>20*326</f>
        <v>6520</v>
      </c>
      <c r="G157" s="67">
        <f>+IF(F157=0,"",F157-E157-C157)</f>
        <v>2237</v>
      </c>
      <c r="H157" s="68">
        <f>+IF(F157=0,"",C157/F157)</f>
        <v>0.6338957055214723</v>
      </c>
    </row>
    <row r="158" spans="1:8" ht="15.75">
      <c r="A158" s="47">
        <v>42309</v>
      </c>
      <c r="B158" s="64">
        <v>394547</v>
      </c>
      <c r="C158" s="64">
        <f t="shared" si="35"/>
        <v>3527</v>
      </c>
      <c r="D158" s="65">
        <v>107810</v>
      </c>
      <c r="E158" s="65">
        <f t="shared" si="36"/>
        <v>135</v>
      </c>
      <c r="F158" s="66">
        <f>20*328</f>
        <v>6560</v>
      </c>
      <c r="G158" s="67">
        <f t="shared" si="37"/>
        <v>2898</v>
      </c>
      <c r="H158" s="68">
        <f t="shared" si="38"/>
        <v>0.5376524390243902</v>
      </c>
    </row>
    <row r="159" spans="1:8" ht="15.75">
      <c r="A159" s="47">
        <v>42339</v>
      </c>
      <c r="B159" s="64">
        <v>398518</v>
      </c>
      <c r="C159" s="64">
        <f t="shared" si="35"/>
        <v>3971</v>
      </c>
      <c r="D159" s="65">
        <v>108006</v>
      </c>
      <c r="E159" s="65">
        <f t="shared" si="36"/>
        <v>196</v>
      </c>
      <c r="F159" s="66">
        <v>6800</v>
      </c>
      <c r="G159" s="67">
        <f t="shared" si="37"/>
        <v>2633</v>
      </c>
      <c r="H159" s="68">
        <f t="shared" si="38"/>
        <v>0.5839705882352941</v>
      </c>
    </row>
    <row r="160" spans="1:8" ht="15.75">
      <c r="A160" s="47">
        <v>42370</v>
      </c>
      <c r="B160" s="64">
        <v>401774</v>
      </c>
      <c r="C160" s="64">
        <f t="shared" si="35"/>
        <v>3256</v>
      </c>
      <c r="D160" s="65">
        <v>108166</v>
      </c>
      <c r="E160" s="65">
        <f t="shared" si="36"/>
        <v>160</v>
      </c>
      <c r="F160" s="66">
        <v>6800</v>
      </c>
      <c r="G160" s="67">
        <f t="shared" si="37"/>
        <v>3384</v>
      </c>
      <c r="H160" s="68">
        <f t="shared" si="38"/>
        <v>0.4788235294117647</v>
      </c>
    </row>
    <row r="161" spans="1:8" ht="15.75">
      <c r="A161" s="47">
        <v>42401</v>
      </c>
      <c r="B161" s="64">
        <v>405322</v>
      </c>
      <c r="C161" s="64">
        <f t="shared" si="35"/>
        <v>3548</v>
      </c>
      <c r="D161" s="65">
        <v>108326</v>
      </c>
      <c r="E161" s="65">
        <f t="shared" si="36"/>
        <v>160</v>
      </c>
      <c r="F161" s="66">
        <v>6250</v>
      </c>
      <c r="G161" s="67">
        <f t="shared" si="37"/>
        <v>2542</v>
      </c>
      <c r="H161" s="68">
        <f t="shared" si="38"/>
        <v>0.56768</v>
      </c>
    </row>
    <row r="162" spans="1:8" ht="15.75">
      <c r="A162" s="47">
        <v>42430</v>
      </c>
      <c r="B162" s="64">
        <v>409564</v>
      </c>
      <c r="C162" s="64">
        <f t="shared" si="35"/>
        <v>4242</v>
      </c>
      <c r="D162" s="65">
        <v>108448</v>
      </c>
      <c r="E162" s="65">
        <f t="shared" si="36"/>
        <v>122</v>
      </c>
      <c r="F162" s="66">
        <f>326*20</f>
        <v>6520</v>
      </c>
      <c r="G162" s="67">
        <f t="shared" si="37"/>
        <v>2156</v>
      </c>
      <c r="H162" s="68">
        <f t="shared" si="38"/>
        <v>0.6506134969325154</v>
      </c>
    </row>
    <row r="163" spans="1:8" ht="15.75">
      <c r="A163" s="47">
        <v>42461</v>
      </c>
      <c r="B163" s="64">
        <v>413257</v>
      </c>
      <c r="C163" s="64">
        <f t="shared" si="35"/>
        <v>3693</v>
      </c>
      <c r="D163" s="65">
        <v>108599</v>
      </c>
      <c r="E163" s="65">
        <f t="shared" si="36"/>
        <v>151</v>
      </c>
      <c r="F163" s="66">
        <f>300*20</f>
        <v>6000</v>
      </c>
      <c r="G163" s="67">
        <f t="shared" si="37"/>
        <v>2156</v>
      </c>
      <c r="H163" s="68">
        <f t="shared" si="38"/>
        <v>0.6155</v>
      </c>
    </row>
    <row r="164" spans="1:8" ht="15.75">
      <c r="A164" s="47">
        <v>42491</v>
      </c>
      <c r="B164" s="64">
        <v>415665</v>
      </c>
      <c r="C164" s="64">
        <f t="shared" si="35"/>
        <v>2408</v>
      </c>
      <c r="D164" s="65">
        <v>108703</v>
      </c>
      <c r="E164" s="65">
        <f t="shared" si="36"/>
        <v>104</v>
      </c>
      <c r="F164" s="66">
        <f>20*183</f>
        <v>3660</v>
      </c>
      <c r="G164" s="67">
        <f t="shared" si="37"/>
        <v>1148</v>
      </c>
      <c r="H164" s="68">
        <f t="shared" si="38"/>
        <v>0.6579234972677596</v>
      </c>
    </row>
    <row r="165" spans="1:8" ht="15.75">
      <c r="A165" s="47">
        <v>42522</v>
      </c>
      <c r="B165" s="64">
        <v>419654</v>
      </c>
      <c r="C165" s="64">
        <f t="shared" si="35"/>
        <v>3989</v>
      </c>
      <c r="D165" s="65">
        <v>108818</v>
      </c>
      <c r="E165" s="65">
        <f t="shared" si="36"/>
        <v>115</v>
      </c>
      <c r="F165" s="66">
        <f>20*273</f>
        <v>5460</v>
      </c>
      <c r="G165" s="67">
        <f t="shared" si="37"/>
        <v>1356</v>
      </c>
      <c r="H165" s="68">
        <f t="shared" si="38"/>
        <v>0.7305860805860805</v>
      </c>
    </row>
    <row r="166" spans="1:8" ht="15.75">
      <c r="A166" s="47">
        <v>42552</v>
      </c>
      <c r="B166" s="64">
        <v>423867</v>
      </c>
      <c r="C166" s="64">
        <f t="shared" si="35"/>
        <v>4213</v>
      </c>
      <c r="D166" s="65">
        <v>108882</v>
      </c>
      <c r="E166" s="65">
        <f t="shared" si="36"/>
        <v>64</v>
      </c>
      <c r="F166" s="66">
        <f>20*248</f>
        <v>4960</v>
      </c>
      <c r="G166" s="67">
        <f t="shared" si="37"/>
        <v>683</v>
      </c>
      <c r="H166" s="68">
        <f t="shared" si="38"/>
        <v>0.8493951612903226</v>
      </c>
    </row>
    <row r="167" spans="1:8" ht="15.75">
      <c r="A167" s="47">
        <v>42583</v>
      </c>
      <c r="B167" s="64">
        <v>428221</v>
      </c>
      <c r="C167" s="64">
        <f t="shared" si="35"/>
        <v>4354</v>
      </c>
      <c r="D167" s="65">
        <v>109027</v>
      </c>
      <c r="E167" s="65">
        <f t="shared" si="36"/>
        <v>145</v>
      </c>
      <c r="F167" s="66">
        <f>20*320</f>
        <v>6400</v>
      </c>
      <c r="G167" s="67">
        <f t="shared" si="37"/>
        <v>1901</v>
      </c>
      <c r="H167" s="68">
        <f t="shared" si="38"/>
        <v>0.6803125</v>
      </c>
    </row>
    <row r="168" spans="1:8" ht="15.75">
      <c r="A168" s="47">
        <v>42614</v>
      </c>
      <c r="B168" s="64">
        <v>433346</v>
      </c>
      <c r="C168" s="64">
        <f t="shared" si="35"/>
        <v>5125</v>
      </c>
      <c r="D168" s="65">
        <v>109183</v>
      </c>
      <c r="E168" s="65">
        <f t="shared" si="36"/>
        <v>156</v>
      </c>
      <c r="F168" s="66">
        <f>20*364</f>
        <v>7280</v>
      </c>
      <c r="G168" s="67">
        <f t="shared" si="37"/>
        <v>1999</v>
      </c>
      <c r="H168" s="68">
        <f t="shared" si="38"/>
        <v>0.7039835164835165</v>
      </c>
    </row>
    <row r="169" spans="1:8" ht="15.75">
      <c r="A169" s="47">
        <v>42644</v>
      </c>
      <c r="B169" s="64">
        <v>436156</v>
      </c>
      <c r="C169" s="64">
        <f t="shared" si="35"/>
        <v>2810</v>
      </c>
      <c r="D169" s="65">
        <v>109294</v>
      </c>
      <c r="E169" s="65">
        <f t="shared" si="36"/>
        <v>111</v>
      </c>
      <c r="F169" s="66">
        <f>236*20</f>
        <v>4720</v>
      </c>
      <c r="G169" s="67">
        <f t="shared" si="37"/>
        <v>1799</v>
      </c>
      <c r="H169" s="68">
        <f t="shared" si="38"/>
        <v>0.5953389830508474</v>
      </c>
    </row>
    <row r="170" spans="1:8" ht="15.75">
      <c r="A170" s="47">
        <v>42675</v>
      </c>
      <c r="B170" s="64">
        <v>439861</v>
      </c>
      <c r="C170" s="64">
        <f t="shared" si="35"/>
        <v>3705</v>
      </c>
      <c r="D170" s="65">
        <v>109486</v>
      </c>
      <c r="E170" s="65">
        <f t="shared" si="36"/>
        <v>192</v>
      </c>
      <c r="F170" s="66">
        <f>20*350</f>
        <v>7000</v>
      </c>
      <c r="G170" s="67">
        <f t="shared" si="37"/>
        <v>3103</v>
      </c>
      <c r="H170" s="68">
        <f t="shared" si="38"/>
        <v>0.5292857142857142</v>
      </c>
    </row>
    <row r="171" spans="1:8" ht="15.75">
      <c r="A171" s="47">
        <v>42705</v>
      </c>
      <c r="B171" s="64">
        <v>443777</v>
      </c>
      <c r="C171" s="64">
        <f t="shared" si="35"/>
        <v>3916</v>
      </c>
      <c r="D171" s="65">
        <v>109682</v>
      </c>
      <c r="E171" s="65">
        <f t="shared" si="36"/>
        <v>196</v>
      </c>
      <c r="F171" s="66">
        <f>20*328</f>
        <v>6560</v>
      </c>
      <c r="G171" s="67">
        <f t="shared" si="37"/>
        <v>2448</v>
      </c>
      <c r="H171" s="68">
        <f t="shared" si="38"/>
        <v>0.5969512195121951</v>
      </c>
    </row>
    <row r="172" spans="1:8" ht="15.75">
      <c r="A172" s="47">
        <v>42736</v>
      </c>
      <c r="B172" s="64">
        <v>448785</v>
      </c>
      <c r="C172" s="64">
        <f t="shared" si="35"/>
        <v>5008</v>
      </c>
      <c r="D172" s="65">
        <v>109960</v>
      </c>
      <c r="E172" s="65">
        <f t="shared" si="36"/>
        <v>278</v>
      </c>
      <c r="F172" s="66">
        <f>20*457</f>
        <v>9140</v>
      </c>
      <c r="G172" s="67">
        <f t="shared" si="37"/>
        <v>3854</v>
      </c>
      <c r="H172" s="68">
        <f t="shared" si="38"/>
        <v>0.5479212253829322</v>
      </c>
    </row>
    <row r="173" spans="1:8" ht="15.75">
      <c r="A173" s="47">
        <v>42767</v>
      </c>
      <c r="B173" s="64">
        <v>450888</v>
      </c>
      <c r="C173" s="64">
        <f t="shared" si="35"/>
        <v>2103</v>
      </c>
      <c r="D173" s="65">
        <v>110084</v>
      </c>
      <c r="E173" s="65">
        <f t="shared" si="36"/>
        <v>124</v>
      </c>
      <c r="F173" s="66">
        <f>20*196</f>
        <v>3920</v>
      </c>
      <c r="G173" s="67">
        <f t="shared" si="37"/>
        <v>1693</v>
      </c>
      <c r="H173" s="68">
        <f t="shared" si="38"/>
        <v>0.5364795918367347</v>
      </c>
    </row>
    <row r="174" spans="1:8" ht="15.75">
      <c r="A174" s="47">
        <v>42795</v>
      </c>
      <c r="B174" s="64">
        <v>454042</v>
      </c>
      <c r="C174" s="64">
        <f t="shared" si="35"/>
        <v>3154</v>
      </c>
      <c r="D174" s="65">
        <v>110264</v>
      </c>
      <c r="E174" s="65">
        <f t="shared" si="36"/>
        <v>180</v>
      </c>
      <c r="F174" s="66">
        <f>20*336</f>
        <v>6720</v>
      </c>
      <c r="G174" s="67">
        <f t="shared" si="37"/>
        <v>3386</v>
      </c>
      <c r="H174" s="68">
        <f t="shared" si="38"/>
        <v>0.4693452380952381</v>
      </c>
    </row>
    <row r="175" spans="1:8" ht="15.75">
      <c r="A175" s="47">
        <v>42826</v>
      </c>
      <c r="B175" s="64">
        <v>458346</v>
      </c>
      <c r="C175" s="64">
        <f t="shared" si="35"/>
        <v>4304</v>
      </c>
      <c r="D175" s="65">
        <v>110357</v>
      </c>
      <c r="E175" s="65">
        <f t="shared" si="36"/>
        <v>93</v>
      </c>
      <c r="F175" s="66">
        <f>20*261</f>
        <v>5220</v>
      </c>
      <c r="G175" s="67">
        <f t="shared" si="37"/>
        <v>823</v>
      </c>
      <c r="H175" s="68">
        <f t="shared" si="38"/>
        <v>0.8245210727969349</v>
      </c>
    </row>
    <row r="176" spans="1:8" ht="15.75">
      <c r="A176" s="47">
        <v>42856</v>
      </c>
      <c r="B176" s="64">
        <v>460842</v>
      </c>
      <c r="C176" s="64">
        <f t="shared" si="35"/>
        <v>2496</v>
      </c>
      <c r="D176" s="65">
        <v>110471</v>
      </c>
      <c r="E176" s="65">
        <f t="shared" si="36"/>
        <v>114</v>
      </c>
      <c r="F176" s="66">
        <f>20*218</f>
        <v>4360</v>
      </c>
      <c r="G176" s="67">
        <f t="shared" si="37"/>
        <v>1750</v>
      </c>
      <c r="H176" s="68">
        <f t="shared" si="38"/>
        <v>0.5724770642201835</v>
      </c>
    </row>
    <row r="177" spans="1:8" ht="15.75">
      <c r="A177" s="47">
        <v>42887</v>
      </c>
      <c r="B177" s="64">
        <v>461500</v>
      </c>
      <c r="C177" s="64">
        <f t="shared" si="35"/>
        <v>658</v>
      </c>
      <c r="D177" s="65">
        <v>110550</v>
      </c>
      <c r="E177" s="65">
        <f t="shared" si="36"/>
        <v>79</v>
      </c>
      <c r="F177" s="66">
        <v>3500</v>
      </c>
      <c r="G177" s="67">
        <f t="shared" si="37"/>
        <v>2763</v>
      </c>
      <c r="H177" s="68">
        <f t="shared" si="38"/>
        <v>0.188</v>
      </c>
    </row>
    <row r="178" spans="1:8" ht="15.75">
      <c r="A178" s="47">
        <v>42917</v>
      </c>
      <c r="B178" s="64">
        <v>462054</v>
      </c>
      <c r="C178" s="64">
        <f t="shared" si="35"/>
        <v>554</v>
      </c>
      <c r="D178" s="65">
        <v>110622</v>
      </c>
      <c r="E178" s="65">
        <f t="shared" si="36"/>
        <v>72</v>
      </c>
      <c r="F178" s="66">
        <f>165*20</f>
        <v>3300</v>
      </c>
      <c r="G178" s="67">
        <f t="shared" si="37"/>
        <v>2674</v>
      </c>
      <c r="H178" s="68">
        <f t="shared" si="38"/>
        <v>0.16787878787878788</v>
      </c>
    </row>
    <row r="179" spans="1:8" ht="15.75">
      <c r="A179" s="47">
        <v>42948</v>
      </c>
      <c r="B179" s="64">
        <v>462406</v>
      </c>
      <c r="C179" s="64">
        <f t="shared" si="35"/>
        <v>352</v>
      </c>
      <c r="D179" s="65">
        <v>110780</v>
      </c>
      <c r="E179" s="65">
        <f t="shared" si="36"/>
        <v>158</v>
      </c>
      <c r="F179" s="66">
        <v>2000</v>
      </c>
      <c r="G179" s="67">
        <f>+IF(F179=0,"",F179-E179-C179)</f>
        <v>1490</v>
      </c>
      <c r="H179" s="68">
        <f>+IF(F179=0,"",C179/F179)</f>
        <v>0.176</v>
      </c>
    </row>
    <row r="180" spans="1:8" ht="15.75">
      <c r="A180" s="47">
        <v>42979</v>
      </c>
      <c r="B180" s="64">
        <v>463073</v>
      </c>
      <c r="C180" s="64">
        <f t="shared" si="35"/>
        <v>667</v>
      </c>
      <c r="D180" s="65">
        <v>111112</v>
      </c>
      <c r="E180" s="65">
        <f t="shared" si="36"/>
        <v>332</v>
      </c>
      <c r="F180" s="66">
        <f>+'elektr. Energie'!F15</f>
        <v>2080</v>
      </c>
      <c r="G180" s="67">
        <f>+IF(F180=0,"",F180-E180-C180)</f>
        <v>1081</v>
      </c>
      <c r="H180" s="68">
        <f>+IF(F180=0,"",C180/F180)</f>
        <v>0.32067307692307695</v>
      </c>
    </row>
    <row r="181" spans="1:8" ht="15.75">
      <c r="A181" s="47">
        <v>43009</v>
      </c>
      <c r="B181" s="64">
        <v>463531</v>
      </c>
      <c r="C181" s="64">
        <f t="shared" si="35"/>
        <v>458</v>
      </c>
      <c r="D181" s="65">
        <v>111310</v>
      </c>
      <c r="E181" s="65">
        <f t="shared" si="36"/>
        <v>198</v>
      </c>
      <c r="F181" s="66">
        <f>+'elektr. Energie'!F16</f>
        <v>3540</v>
      </c>
      <c r="G181" s="67">
        <f>+IF(F181=0,"",F181-E181-C181)</f>
        <v>2884</v>
      </c>
      <c r="H181" s="68">
        <f>+IF(F181=0,"",C181/F181)</f>
        <v>0.12937853107344632</v>
      </c>
    </row>
    <row r="182" spans="1:8" ht="15.75">
      <c r="A182" s="47">
        <v>43040</v>
      </c>
      <c r="B182" s="64">
        <v>463984</v>
      </c>
      <c r="C182" s="64">
        <f t="shared" si="35"/>
        <v>453</v>
      </c>
      <c r="D182" s="65">
        <v>111540</v>
      </c>
      <c r="E182" s="65">
        <f t="shared" si="36"/>
        <v>230</v>
      </c>
      <c r="F182" s="66">
        <f>20*157</f>
        <v>3140</v>
      </c>
      <c r="G182" s="67">
        <f t="shared" si="37"/>
        <v>2457</v>
      </c>
      <c r="H182" s="68">
        <f t="shared" si="38"/>
        <v>0.14426751592356687</v>
      </c>
    </row>
    <row r="183" spans="1:8" ht="15.75">
      <c r="A183" s="47">
        <v>43070</v>
      </c>
      <c r="B183" s="64">
        <v>464440</v>
      </c>
      <c r="C183" s="64">
        <f t="shared" si="35"/>
        <v>456</v>
      </c>
      <c r="D183" s="65">
        <v>111807</v>
      </c>
      <c r="E183" s="65">
        <f t="shared" si="36"/>
        <v>267</v>
      </c>
      <c r="F183" s="66">
        <f>20*161</f>
        <v>3220</v>
      </c>
      <c r="G183" s="67">
        <f t="shared" si="37"/>
        <v>2497</v>
      </c>
      <c r="H183" s="68">
        <f t="shared" si="38"/>
        <v>0.14161490683229813</v>
      </c>
    </row>
    <row r="184" spans="1:8" ht="15.75">
      <c r="A184" s="47">
        <v>43101</v>
      </c>
      <c r="B184" s="64">
        <v>464620</v>
      </c>
      <c r="C184" s="64">
        <f t="shared" si="35"/>
        <v>180</v>
      </c>
      <c r="D184" s="65">
        <v>112000</v>
      </c>
      <c r="E184" s="65">
        <f t="shared" si="36"/>
        <v>193</v>
      </c>
      <c r="F184" s="66">
        <f>20*118</f>
        <v>2360</v>
      </c>
      <c r="G184" s="67">
        <f t="shared" si="37"/>
        <v>1987</v>
      </c>
      <c r="H184" s="68">
        <f t="shared" si="38"/>
        <v>0.07627118644067797</v>
      </c>
    </row>
    <row r="185" spans="1:8" ht="15.75">
      <c r="A185" s="47">
        <v>43132</v>
      </c>
      <c r="B185" s="64">
        <v>464784</v>
      </c>
      <c r="C185" s="64">
        <f t="shared" si="35"/>
        <v>164</v>
      </c>
      <c r="D185" s="65">
        <v>112048</v>
      </c>
      <c r="E185" s="65">
        <f t="shared" si="36"/>
        <v>48</v>
      </c>
      <c r="F185" s="66">
        <f>20*142</f>
        <v>2840</v>
      </c>
      <c r="G185" s="67">
        <f t="shared" si="37"/>
        <v>2628</v>
      </c>
      <c r="H185" s="68">
        <f t="shared" si="38"/>
        <v>0.057746478873239436</v>
      </c>
    </row>
    <row r="186" spans="1:8" ht="15.75">
      <c r="A186" s="47">
        <v>43160</v>
      </c>
      <c r="B186" s="64">
        <v>465056</v>
      </c>
      <c r="C186" s="64">
        <f aca="true" t="shared" si="39" ref="C186:C204">+IF(B186=0,"",B186-B185)</f>
        <v>272</v>
      </c>
      <c r="D186" s="65">
        <v>112222</v>
      </c>
      <c r="E186" s="65">
        <f aca="true" t="shared" si="40" ref="E186:E204">+IF(D186=0,"",D186-D185)</f>
        <v>174</v>
      </c>
      <c r="F186" s="66">
        <f>20*118</f>
        <v>2360</v>
      </c>
      <c r="G186" s="67">
        <f>+IF(F186=0,"",F186-E186-C186)</f>
        <v>1914</v>
      </c>
      <c r="H186" s="68">
        <f>+IF(F186=0,"",C186/F186)</f>
        <v>0.1152542372881356</v>
      </c>
    </row>
    <row r="187" spans="1:8" ht="15.75">
      <c r="A187" s="47">
        <v>43191</v>
      </c>
      <c r="B187" s="64">
        <v>465301</v>
      </c>
      <c r="C187" s="64">
        <f t="shared" si="39"/>
        <v>245</v>
      </c>
      <c r="D187" s="65">
        <v>112406</v>
      </c>
      <c r="E187" s="65">
        <f t="shared" si="40"/>
        <v>184</v>
      </c>
      <c r="F187" s="66">
        <f>20*108</f>
        <v>2160</v>
      </c>
      <c r="G187" s="67">
        <f>+IF(F187=0,"",F187-E187-C187)</f>
        <v>1731</v>
      </c>
      <c r="H187" s="68">
        <f>+IF(F187=0,"",C187/F187)</f>
        <v>0.11342592592592593</v>
      </c>
    </row>
    <row r="188" spans="1:8" ht="15.75">
      <c r="A188" s="47">
        <v>43221</v>
      </c>
      <c r="B188" s="64">
        <v>465552</v>
      </c>
      <c r="C188" s="64">
        <f t="shared" si="39"/>
        <v>251</v>
      </c>
      <c r="D188" s="65">
        <v>112567</v>
      </c>
      <c r="E188" s="65">
        <f t="shared" si="40"/>
        <v>161</v>
      </c>
      <c r="F188" s="66">
        <f>20*97</f>
        <v>1940</v>
      </c>
      <c r="G188" s="67">
        <f>+IF(F188=0,"",F188-E188-C188)</f>
        <v>1528</v>
      </c>
      <c r="H188" s="68">
        <f>+IF(F188=0,"",C188/F188)</f>
        <v>0.12938144329896908</v>
      </c>
    </row>
    <row r="189" spans="1:8" ht="15.75">
      <c r="A189" s="47">
        <v>43252</v>
      </c>
      <c r="B189" s="64">
        <v>465755</v>
      </c>
      <c r="C189" s="64">
        <f t="shared" si="39"/>
        <v>203</v>
      </c>
      <c r="D189" s="65">
        <v>112708</v>
      </c>
      <c r="E189" s="65">
        <f t="shared" si="40"/>
        <v>141</v>
      </c>
      <c r="F189" s="66">
        <v>1940</v>
      </c>
      <c r="G189" s="67">
        <f aca="true" t="shared" si="41" ref="G189:G194">+IF(F189=0,"",F189-E189-C189)</f>
        <v>1596</v>
      </c>
      <c r="H189" s="68">
        <f aca="true" t="shared" si="42" ref="H189:H194">+IF(F189=0,"",C189/F189)</f>
        <v>0.10463917525773196</v>
      </c>
    </row>
    <row r="190" spans="1:8" ht="15.75">
      <c r="A190" s="47">
        <v>43282</v>
      </c>
      <c r="B190" s="64">
        <v>465950</v>
      </c>
      <c r="C190" s="64">
        <f t="shared" si="39"/>
        <v>195</v>
      </c>
      <c r="D190" s="65">
        <v>112808</v>
      </c>
      <c r="E190" s="65">
        <f t="shared" si="40"/>
        <v>100</v>
      </c>
      <c r="F190" s="66">
        <f>20*64</f>
        <v>1280</v>
      </c>
      <c r="G190" s="67">
        <f t="shared" si="41"/>
        <v>985</v>
      </c>
      <c r="H190" s="68">
        <f t="shared" si="42"/>
        <v>0.15234375</v>
      </c>
    </row>
    <row r="191" spans="1:8" ht="15.75">
      <c r="A191" s="47">
        <v>43313</v>
      </c>
      <c r="B191" s="64">
        <v>466194</v>
      </c>
      <c r="C191" s="64">
        <f t="shared" si="39"/>
        <v>244</v>
      </c>
      <c r="D191" s="65">
        <v>112826</v>
      </c>
      <c r="E191" s="65">
        <f t="shared" si="40"/>
        <v>18</v>
      </c>
      <c r="F191" s="66">
        <f>20*90</f>
        <v>1800</v>
      </c>
      <c r="G191" s="67">
        <f t="shared" si="41"/>
        <v>1538</v>
      </c>
      <c r="H191" s="68">
        <f t="shared" si="42"/>
        <v>0.13555555555555557</v>
      </c>
    </row>
    <row r="192" spans="1:8" ht="15.75">
      <c r="A192" s="47">
        <v>43344</v>
      </c>
      <c r="B192" s="122">
        <v>466514</v>
      </c>
      <c r="C192" s="64">
        <f t="shared" si="39"/>
        <v>320</v>
      </c>
      <c r="D192" s="65">
        <v>112849</v>
      </c>
      <c r="E192" s="65">
        <f t="shared" si="40"/>
        <v>23</v>
      </c>
      <c r="F192" s="66">
        <f>20*46</f>
        <v>920</v>
      </c>
      <c r="G192" s="67">
        <f t="shared" si="41"/>
        <v>577</v>
      </c>
      <c r="H192" s="68">
        <f t="shared" si="42"/>
        <v>0.34782608695652173</v>
      </c>
    </row>
    <row r="193" spans="1:8" ht="15.75">
      <c r="A193" s="47">
        <v>43374</v>
      </c>
      <c r="B193" s="64">
        <v>466792</v>
      </c>
      <c r="C193" s="64">
        <f t="shared" si="39"/>
        <v>278</v>
      </c>
      <c r="D193" s="65">
        <v>112861</v>
      </c>
      <c r="E193" s="65">
        <f t="shared" si="40"/>
        <v>12</v>
      </c>
      <c r="F193" s="66">
        <f>100*20</f>
        <v>2000</v>
      </c>
      <c r="G193" s="67">
        <f t="shared" si="41"/>
        <v>1710</v>
      </c>
      <c r="H193" s="68">
        <f t="shared" si="42"/>
        <v>0.139</v>
      </c>
    </row>
    <row r="194" spans="1:8" ht="15.75">
      <c r="A194" s="47">
        <v>43405</v>
      </c>
      <c r="B194" s="64">
        <v>467259</v>
      </c>
      <c r="C194" s="64">
        <f t="shared" si="39"/>
        <v>467</v>
      </c>
      <c r="D194" s="65">
        <v>112879</v>
      </c>
      <c r="E194" s="65">
        <f t="shared" si="40"/>
        <v>18</v>
      </c>
      <c r="F194" s="66">
        <f>20*173</f>
        <v>3460</v>
      </c>
      <c r="G194" s="67">
        <f t="shared" si="41"/>
        <v>2975</v>
      </c>
      <c r="H194" s="68">
        <f t="shared" si="42"/>
        <v>0.13497109826589596</v>
      </c>
    </row>
    <row r="195" spans="1:8" ht="15.75">
      <c r="A195" s="47">
        <v>43435</v>
      </c>
      <c r="B195" s="64">
        <v>467665</v>
      </c>
      <c r="C195" s="64">
        <f t="shared" si="39"/>
        <v>406</v>
      </c>
      <c r="D195" s="65">
        <v>112894</v>
      </c>
      <c r="E195" s="65">
        <f t="shared" si="40"/>
        <v>15</v>
      </c>
      <c r="F195" s="66">
        <v>2520</v>
      </c>
      <c r="G195" s="67">
        <f aca="true" t="shared" si="43" ref="G195:G200">+IF(F195=0,"",F195-E195-C195)</f>
        <v>2099</v>
      </c>
      <c r="H195" s="68">
        <f aca="true" t="shared" si="44" ref="H195:H200">+IF(F195=0,"",C195/F195)</f>
        <v>0.16111111111111112</v>
      </c>
    </row>
    <row r="196" spans="1:8" ht="15.75">
      <c r="A196" s="47">
        <v>43466</v>
      </c>
      <c r="B196" s="64">
        <v>468129</v>
      </c>
      <c r="C196" s="64">
        <f t="shared" si="39"/>
        <v>464</v>
      </c>
      <c r="D196" s="65">
        <v>112971</v>
      </c>
      <c r="E196" s="65">
        <f t="shared" si="40"/>
        <v>77</v>
      </c>
      <c r="F196" s="66">
        <f>20*154</f>
        <v>3080</v>
      </c>
      <c r="G196" s="67">
        <f t="shared" si="43"/>
        <v>2539</v>
      </c>
      <c r="H196" s="68">
        <f t="shared" si="44"/>
        <v>0.15064935064935064</v>
      </c>
    </row>
    <row r="197" spans="1:8" ht="15.75">
      <c r="A197" s="47">
        <v>43497</v>
      </c>
      <c r="B197" s="64">
        <v>468511</v>
      </c>
      <c r="C197" s="64">
        <f t="shared" si="39"/>
        <v>382</v>
      </c>
      <c r="D197" s="65">
        <v>113012</v>
      </c>
      <c r="E197" s="65">
        <f t="shared" si="40"/>
        <v>41</v>
      </c>
      <c r="F197" s="66">
        <f>20*134</f>
        <v>2680</v>
      </c>
      <c r="G197" s="67">
        <f t="shared" si="43"/>
        <v>2257</v>
      </c>
      <c r="H197" s="68">
        <f t="shared" si="44"/>
        <v>0.14253731343283582</v>
      </c>
    </row>
    <row r="198" spans="1:8" ht="15.75">
      <c r="A198" s="47">
        <v>43525</v>
      </c>
      <c r="B198" s="64">
        <v>468847</v>
      </c>
      <c r="C198" s="64">
        <f t="shared" si="39"/>
        <v>336</v>
      </c>
      <c r="D198" s="65">
        <v>113038</v>
      </c>
      <c r="E198" s="65">
        <f t="shared" si="40"/>
        <v>26</v>
      </c>
      <c r="F198" s="66">
        <f>20*124</f>
        <v>2480</v>
      </c>
      <c r="G198" s="67">
        <f t="shared" si="43"/>
        <v>2118</v>
      </c>
      <c r="H198" s="68">
        <f t="shared" si="44"/>
        <v>0.13548387096774195</v>
      </c>
    </row>
    <row r="199" spans="1:8" ht="15.75">
      <c r="A199" s="47">
        <v>43556</v>
      </c>
      <c r="B199" s="64">
        <v>469071</v>
      </c>
      <c r="C199" s="64">
        <f t="shared" si="39"/>
        <v>224</v>
      </c>
      <c r="D199" s="65">
        <v>113093</v>
      </c>
      <c r="E199" s="65">
        <f t="shared" si="40"/>
        <v>55</v>
      </c>
      <c r="F199" s="66">
        <f>20*98</f>
        <v>1960</v>
      </c>
      <c r="G199" s="67">
        <f t="shared" si="43"/>
        <v>1681</v>
      </c>
      <c r="H199" s="68">
        <f t="shared" si="44"/>
        <v>0.11428571428571428</v>
      </c>
    </row>
    <row r="200" spans="1:8" ht="15.75">
      <c r="A200" s="47">
        <v>43586</v>
      </c>
      <c r="B200" s="64">
        <v>469348</v>
      </c>
      <c r="C200" s="64">
        <f t="shared" si="39"/>
        <v>277</v>
      </c>
      <c r="D200" s="65">
        <v>113278</v>
      </c>
      <c r="E200" s="65">
        <f t="shared" si="40"/>
        <v>185</v>
      </c>
      <c r="F200" s="66">
        <f>20*108</f>
        <v>2160</v>
      </c>
      <c r="G200" s="67">
        <f t="shared" si="43"/>
        <v>1698</v>
      </c>
      <c r="H200" s="68">
        <f t="shared" si="44"/>
        <v>0.12824074074074074</v>
      </c>
    </row>
    <row r="201" spans="1:8" ht="15.75">
      <c r="A201" s="47">
        <v>43617</v>
      </c>
      <c r="B201" s="64">
        <v>469610</v>
      </c>
      <c r="C201" s="64">
        <f t="shared" si="39"/>
        <v>262</v>
      </c>
      <c r="D201" s="65">
        <v>113477</v>
      </c>
      <c r="E201" s="65">
        <f t="shared" si="40"/>
        <v>199</v>
      </c>
      <c r="F201" s="66">
        <f>20*48</f>
        <v>960</v>
      </c>
      <c r="G201" s="67">
        <f>+IF(F201=0,"",F201-E201-C201)</f>
        <v>499</v>
      </c>
      <c r="H201" s="68">
        <f>+IF(F201=0,"",C201/F201)</f>
        <v>0.27291666666666664</v>
      </c>
    </row>
    <row r="202" spans="1:8" ht="15.75">
      <c r="A202" s="47">
        <v>43647</v>
      </c>
      <c r="B202" s="64">
        <v>469826</v>
      </c>
      <c r="C202" s="64">
        <f t="shared" si="39"/>
        <v>216</v>
      </c>
      <c r="D202" s="65">
        <v>113681</v>
      </c>
      <c r="E202" s="65">
        <f t="shared" si="40"/>
        <v>204</v>
      </c>
      <c r="F202" s="66">
        <f>20*71</f>
        <v>1420</v>
      </c>
      <c r="G202" s="67">
        <f>+IF(F202=0,"",F202-E202-C202)</f>
        <v>1000</v>
      </c>
      <c r="H202" s="68">
        <f>+IF(F202=0,"",C202/F202)</f>
        <v>0.15211267605633802</v>
      </c>
    </row>
    <row r="203" spans="1:8" ht="15.75">
      <c r="A203" s="47">
        <v>43678</v>
      </c>
      <c r="B203" s="64">
        <v>470000</v>
      </c>
      <c r="C203" s="64">
        <f t="shared" si="39"/>
        <v>174</v>
      </c>
      <c r="D203" s="65">
        <v>113850</v>
      </c>
      <c r="E203" s="65">
        <f t="shared" si="40"/>
        <v>169</v>
      </c>
      <c r="F203" s="66">
        <f>112*20</f>
        <v>2240</v>
      </c>
      <c r="G203" s="67">
        <f>+IF(F203=0,"",F203-E203-C203)</f>
        <v>1897</v>
      </c>
      <c r="H203" s="68">
        <f>+IF(F203=0,"",C203/F203)</f>
        <v>0.07767857142857143</v>
      </c>
    </row>
    <row r="204" spans="1:8" ht="15.75">
      <c r="A204" s="47">
        <v>43709</v>
      </c>
      <c r="B204" s="64">
        <v>470358</v>
      </c>
      <c r="C204" s="64">
        <f t="shared" si="39"/>
        <v>358</v>
      </c>
      <c r="D204" s="65">
        <v>114141</v>
      </c>
      <c r="E204" s="65">
        <f t="shared" si="40"/>
        <v>291</v>
      </c>
      <c r="F204" s="66">
        <f>145*20</f>
        <v>2900</v>
      </c>
      <c r="G204" s="67">
        <f>+IF(F204=0,"",F204-E204-C204)</f>
        <v>2251</v>
      </c>
      <c r="H204" s="68">
        <f>+IF(F204=0,"",C204/F204)</f>
        <v>0.12344827586206897</v>
      </c>
    </row>
    <row r="205" spans="1:8" ht="15.75">
      <c r="A205" s="47">
        <v>43739</v>
      </c>
      <c r="B205" s="64"/>
      <c r="C205" s="64"/>
      <c r="D205" s="65"/>
      <c r="E205" s="65"/>
      <c r="F205" s="66"/>
      <c r="G205" s="67"/>
      <c r="H205" s="68"/>
    </row>
    <row r="206" spans="1:8" ht="15.75">
      <c r="A206" s="47">
        <v>43770</v>
      </c>
      <c r="B206" s="64"/>
      <c r="C206" s="64"/>
      <c r="D206" s="65"/>
      <c r="E206" s="65"/>
      <c r="F206" s="66"/>
      <c r="G206" s="67"/>
      <c r="H206" s="68"/>
    </row>
    <row r="207" spans="1:8" ht="15.75">
      <c r="A207" s="47">
        <v>43800</v>
      </c>
      <c r="B207" s="64"/>
      <c r="C207" s="64"/>
      <c r="D207" s="65"/>
      <c r="E207" s="65"/>
      <c r="F207" s="66"/>
      <c r="G207" s="67"/>
      <c r="H207" s="68"/>
    </row>
    <row r="208" spans="1:8" ht="15.75">
      <c r="A208" s="47">
        <v>43831</v>
      </c>
      <c r="B208" s="64"/>
      <c r="C208" s="64"/>
      <c r="D208" s="65"/>
      <c r="E208" s="65"/>
      <c r="F208" s="66"/>
      <c r="G208" s="67"/>
      <c r="H208" s="68"/>
    </row>
    <row r="209" spans="1:8" ht="15.75">
      <c r="A209" s="47">
        <v>43862</v>
      </c>
      <c r="B209" s="64"/>
      <c r="C209" s="64"/>
      <c r="D209" s="65"/>
      <c r="E209" s="65"/>
      <c r="F209" s="66"/>
      <c r="G209" s="67"/>
      <c r="H209" s="68"/>
    </row>
    <row r="210" spans="1:8" ht="15.75">
      <c r="A210" s="47">
        <v>43891</v>
      </c>
      <c r="B210" s="64"/>
      <c r="C210" s="64"/>
      <c r="D210" s="65"/>
      <c r="E210" s="65"/>
      <c r="F210" s="66"/>
      <c r="G210" s="67"/>
      <c r="H210" s="68"/>
    </row>
    <row r="211" spans="1:8" ht="15.75">
      <c r="A211" s="47">
        <v>43922</v>
      </c>
      <c r="B211" s="64"/>
      <c r="C211" s="64"/>
      <c r="D211" s="65"/>
      <c r="E211" s="65"/>
      <c r="F211" s="66"/>
      <c r="G211" s="67"/>
      <c r="H211" s="68"/>
    </row>
    <row r="212" spans="1:8" ht="15.75">
      <c r="A212" s="47">
        <v>43952</v>
      </c>
      <c r="B212" s="64"/>
      <c r="C212" s="64"/>
      <c r="D212" s="65"/>
      <c r="E212" s="65"/>
      <c r="F212" s="66"/>
      <c r="G212" s="67"/>
      <c r="H212" s="68"/>
    </row>
    <row r="213" spans="1:8" ht="15.75">
      <c r="A213" s="47">
        <v>43983</v>
      </c>
      <c r="B213" s="64"/>
      <c r="C213" s="64"/>
      <c r="D213" s="65"/>
      <c r="E213" s="65"/>
      <c r="F213" s="66"/>
      <c r="G213" s="67"/>
      <c r="H213" s="68"/>
    </row>
    <row r="214" spans="1:8" ht="15.75">
      <c r="A214" s="47">
        <v>44013</v>
      </c>
      <c r="B214" s="64"/>
      <c r="C214" s="64"/>
      <c r="D214" s="65"/>
      <c r="E214" s="65"/>
      <c r="F214" s="66"/>
      <c r="G214" s="67"/>
      <c r="H214" s="68"/>
    </row>
    <row r="215" spans="1:8" ht="15.75">
      <c r="A215" s="47">
        <v>44044</v>
      </c>
      <c r="B215" s="64"/>
      <c r="C215" s="64"/>
      <c r="D215" s="65"/>
      <c r="E215" s="65"/>
      <c r="F215" s="66"/>
      <c r="G215" s="67"/>
      <c r="H215" s="68"/>
    </row>
    <row r="216" spans="1:8" ht="15.75">
      <c r="A216" s="47">
        <v>44075</v>
      </c>
      <c r="B216" s="64"/>
      <c r="C216" s="64"/>
      <c r="D216" s="65"/>
      <c r="E216" s="65"/>
      <c r="F216" s="66"/>
      <c r="G216" s="67"/>
      <c r="H216" s="68"/>
    </row>
    <row r="217" spans="1:8" ht="15.75">
      <c r="A217" s="47">
        <v>44105</v>
      </c>
      <c r="B217" s="64"/>
      <c r="C217" s="64"/>
      <c r="D217" s="65"/>
      <c r="E217" s="65"/>
      <c r="F217" s="66"/>
      <c r="G217" s="67"/>
      <c r="H217" s="68"/>
    </row>
    <row r="218" spans="1:8" ht="15.75">
      <c r="A218" s="47">
        <v>44136</v>
      </c>
      <c r="B218" s="64"/>
      <c r="C218" s="64"/>
      <c r="D218" s="65"/>
      <c r="E218" s="65"/>
      <c r="F218" s="66"/>
      <c r="G218" s="67"/>
      <c r="H218" s="68"/>
    </row>
    <row r="219" spans="1:8" ht="15.75">
      <c r="A219" s="47">
        <v>44166</v>
      </c>
      <c r="B219" s="64"/>
      <c r="C219" s="64"/>
      <c r="D219" s="65"/>
      <c r="E219" s="65"/>
      <c r="F219" s="66"/>
      <c r="G219" s="67"/>
      <c r="H219" s="68"/>
    </row>
    <row r="220" spans="1:8" ht="15.75">
      <c r="A220" s="47">
        <v>44197</v>
      </c>
      <c r="B220" s="64"/>
      <c r="C220" s="64"/>
      <c r="D220" s="65"/>
      <c r="E220" s="65"/>
      <c r="F220" s="66"/>
      <c r="G220" s="67"/>
      <c r="H220" s="68"/>
    </row>
    <row r="221" spans="1:8" ht="15.75">
      <c r="A221" s="47">
        <v>44228</v>
      </c>
      <c r="B221" s="64"/>
      <c r="C221" s="64"/>
      <c r="D221" s="65"/>
      <c r="E221" s="65"/>
      <c r="F221" s="66"/>
      <c r="G221" s="67"/>
      <c r="H221" s="68"/>
    </row>
    <row r="222" spans="1:8" ht="15.75">
      <c r="A222" s="47">
        <v>44256</v>
      </c>
      <c r="B222" s="64"/>
      <c r="C222" s="64"/>
      <c r="D222" s="65"/>
      <c r="E222" s="65"/>
      <c r="F222" s="66"/>
      <c r="G222" s="67"/>
      <c r="H222" s="68"/>
    </row>
    <row r="223" spans="1:8" ht="15.75">
      <c r="A223" s="47">
        <v>44287</v>
      </c>
      <c r="B223" s="64"/>
      <c r="C223" s="64"/>
      <c r="D223" s="65"/>
      <c r="E223" s="65"/>
      <c r="F223" s="66"/>
      <c r="G223" s="67"/>
      <c r="H223" s="68"/>
    </row>
    <row r="224" spans="1:8" ht="15.75">
      <c r="A224" s="47">
        <v>44317</v>
      </c>
      <c r="B224" s="64"/>
      <c r="C224" s="64"/>
      <c r="D224" s="65"/>
      <c r="E224" s="65"/>
      <c r="F224" s="66"/>
      <c r="G224" s="67"/>
      <c r="H224" s="68"/>
    </row>
    <row r="225" spans="1:8" ht="15.75">
      <c r="A225" s="47">
        <v>44348</v>
      </c>
      <c r="B225" s="64"/>
      <c r="C225" s="64"/>
      <c r="D225" s="65"/>
      <c r="E225" s="65"/>
      <c r="F225" s="66"/>
      <c r="G225" s="67"/>
      <c r="H225" s="68"/>
    </row>
    <row r="226" spans="1:8" ht="15.75">
      <c r="A226" s="47">
        <v>44378</v>
      </c>
      <c r="B226" s="64"/>
      <c r="C226" s="64"/>
      <c r="D226" s="65"/>
      <c r="E226" s="65"/>
      <c r="F226" s="66"/>
      <c r="G226" s="67"/>
      <c r="H226" s="68"/>
    </row>
    <row r="227" spans="1:8" ht="15.75">
      <c r="A227" s="47">
        <v>44409</v>
      </c>
      <c r="B227" s="64"/>
      <c r="C227" s="64"/>
      <c r="D227" s="65"/>
      <c r="E227" s="65"/>
      <c r="F227" s="66"/>
      <c r="G227" s="67"/>
      <c r="H227" s="68"/>
    </row>
    <row r="229" spans="1:2" ht="15">
      <c r="A229" s="47">
        <v>37865</v>
      </c>
      <c r="B229" s="74">
        <f>+H10</f>
        <v>0.5635802469135802</v>
      </c>
    </row>
    <row r="230" spans="1:2" ht="15">
      <c r="A230" s="47">
        <v>37895</v>
      </c>
      <c r="B230" s="74">
        <f aca="true" t="shared" si="45" ref="B230:B263">+H11</f>
        <v>0.5577358490566038</v>
      </c>
    </row>
    <row r="231" spans="1:2" ht="15">
      <c r="A231" s="47">
        <v>37926</v>
      </c>
      <c r="B231" s="74">
        <f t="shared" si="45"/>
        <v>0.46576271186440676</v>
      </c>
    </row>
    <row r="232" spans="1:2" ht="15">
      <c r="A232" s="47">
        <v>37956</v>
      </c>
      <c r="B232" s="74">
        <f t="shared" si="45"/>
        <v>0.4846938775510204</v>
      </c>
    </row>
    <row r="233" spans="1:2" ht="15">
      <c r="A233" s="47">
        <v>37987</v>
      </c>
      <c r="B233" s="74">
        <f t="shared" si="45"/>
        <v>0.450530035335689</v>
      </c>
    </row>
    <row r="234" spans="1:2" ht="15">
      <c r="A234" s="47">
        <v>38018</v>
      </c>
      <c r="B234" s="74">
        <f t="shared" si="45"/>
        <v>0.4741818181818182</v>
      </c>
    </row>
    <row r="235" spans="1:2" ht="15">
      <c r="A235" s="47">
        <v>38047</v>
      </c>
      <c r="B235" s="74">
        <f t="shared" si="45"/>
        <v>0.6774193548387096</v>
      </c>
    </row>
    <row r="236" spans="1:2" ht="15">
      <c r="A236" s="47">
        <v>38078</v>
      </c>
      <c r="B236" s="74">
        <f t="shared" si="45"/>
        <v>0.682233502538071</v>
      </c>
    </row>
    <row r="237" spans="1:2" ht="15">
      <c r="A237" s="47">
        <v>38108</v>
      </c>
      <c r="B237" s="74">
        <f t="shared" si="45"/>
        <v>0.5476890756302522</v>
      </c>
    </row>
    <row r="238" spans="1:2" ht="15">
      <c r="A238" s="47">
        <v>38139</v>
      </c>
      <c r="B238" s="74">
        <f t="shared" si="45"/>
        <v>0.5628301886792453</v>
      </c>
    </row>
    <row r="239" spans="1:2" ht="15">
      <c r="A239" s="47">
        <v>38169</v>
      </c>
      <c r="B239" s="74">
        <f t="shared" si="45"/>
        <v>0.7938972162740899</v>
      </c>
    </row>
    <row r="240" spans="1:2" ht="15">
      <c r="A240" s="47">
        <v>38200</v>
      </c>
      <c r="B240" s="74">
        <f t="shared" si="45"/>
        <v>0.6821282401091405</v>
      </c>
    </row>
    <row r="241" spans="1:2" ht="15">
      <c r="A241" s="47">
        <v>38231</v>
      </c>
      <c r="B241" s="74">
        <f t="shared" si="45"/>
        <v>0.5748214285714286</v>
      </c>
    </row>
    <row r="242" spans="1:2" ht="15">
      <c r="A242" s="47">
        <v>38261</v>
      </c>
      <c r="B242" s="74">
        <f t="shared" si="45"/>
        <v>0.5936170212765958</v>
      </c>
    </row>
    <row r="243" spans="1:2" ht="15">
      <c r="A243" s="47">
        <v>38292</v>
      </c>
      <c r="B243" s="74">
        <f t="shared" si="45"/>
        <v>0.5070652173913044</v>
      </c>
    </row>
    <row r="244" spans="1:2" ht="15.75" thickBot="1">
      <c r="A244" s="48">
        <v>38322</v>
      </c>
      <c r="B244" s="74">
        <f t="shared" si="45"/>
        <v>0.5421296296296296</v>
      </c>
    </row>
    <row r="245" spans="1:2" ht="15">
      <c r="A245" s="47">
        <v>38353</v>
      </c>
      <c r="B245" s="74">
        <f t="shared" si="45"/>
        <v>0.5397526501766784</v>
      </c>
    </row>
    <row r="246" spans="1:2" ht="15">
      <c r="A246" s="47">
        <v>38384</v>
      </c>
      <c r="B246" s="74">
        <f t="shared" si="45"/>
        <v>0.49679054054054056</v>
      </c>
    </row>
    <row r="247" spans="1:2" ht="15">
      <c r="A247" s="47">
        <v>38412</v>
      </c>
      <c r="B247" s="74">
        <f t="shared" si="45"/>
        <v>0.5564393939393939</v>
      </c>
    </row>
    <row r="248" spans="1:2" ht="15">
      <c r="A248" s="47">
        <v>38443</v>
      </c>
      <c r="B248" s="74">
        <f t="shared" si="45"/>
        <v>0.5955938697318007</v>
      </c>
    </row>
    <row r="249" spans="1:2" ht="15">
      <c r="A249" s="47">
        <v>38473</v>
      </c>
      <c r="B249" s="74">
        <f t="shared" si="45"/>
        <v>0.6311740890688259</v>
      </c>
    </row>
    <row r="250" spans="1:2" ht="15">
      <c r="A250" s="47">
        <v>38504</v>
      </c>
      <c r="B250" s="74">
        <f t="shared" si="45"/>
        <v>0.6448207171314742</v>
      </c>
    </row>
    <row r="251" spans="1:2" ht="15">
      <c r="A251" s="47">
        <v>38534</v>
      </c>
      <c r="B251" s="74">
        <f t="shared" si="45"/>
        <v>0.756159420289855</v>
      </c>
    </row>
    <row r="252" spans="1:2" ht="15">
      <c r="A252" s="47">
        <v>38565</v>
      </c>
      <c r="B252" s="74">
        <f t="shared" si="45"/>
        <v>0.714375</v>
      </c>
    </row>
    <row r="253" spans="1:2" ht="15">
      <c r="A253" s="47">
        <v>38596</v>
      </c>
      <c r="B253" s="74">
        <f t="shared" si="45"/>
        <v>0.6145833333333334</v>
      </c>
    </row>
    <row r="254" spans="1:2" ht="15">
      <c r="A254" s="47">
        <v>38626</v>
      </c>
      <c r="B254" s="74">
        <f t="shared" si="45"/>
        <v>0.5980519480519481</v>
      </c>
    </row>
    <row r="255" spans="1:2" ht="15">
      <c r="A255" s="47">
        <v>38657</v>
      </c>
      <c r="B255" s="74">
        <f t="shared" si="45"/>
        <v>0.5103174603174603</v>
      </c>
    </row>
    <row r="256" spans="1:2" ht="15">
      <c r="A256" s="47">
        <v>38687</v>
      </c>
      <c r="B256" s="74">
        <f t="shared" si="45"/>
        <v>0.5121666666666667</v>
      </c>
    </row>
    <row r="257" spans="1:2" ht="15">
      <c r="A257" s="47">
        <v>38718</v>
      </c>
      <c r="B257" s="74">
        <f t="shared" si="45"/>
        <v>0.4944256756756757</v>
      </c>
    </row>
    <row r="258" spans="1:2" ht="15">
      <c r="A258" s="47">
        <v>38749</v>
      </c>
      <c r="B258" s="74">
        <f t="shared" si="45"/>
        <v>0.4811036789297659</v>
      </c>
    </row>
    <row r="259" spans="1:2" ht="15">
      <c r="A259" s="47">
        <v>38777</v>
      </c>
      <c r="B259" s="74">
        <f t="shared" si="45"/>
        <v>0.5505067567567568</v>
      </c>
    </row>
    <row r="260" spans="1:2" ht="15">
      <c r="A260" s="47">
        <v>38808</v>
      </c>
      <c r="B260" s="74">
        <f t="shared" si="45"/>
        <v>0.5995433789954338</v>
      </c>
    </row>
    <row r="261" spans="1:2" ht="15">
      <c r="A261" s="47">
        <v>38838</v>
      </c>
      <c r="B261" s="74">
        <f t="shared" si="45"/>
        <v>0.6400763358778626</v>
      </c>
    </row>
    <row r="262" spans="1:2" ht="15">
      <c r="A262" s="47">
        <v>38869</v>
      </c>
      <c r="B262" s="74">
        <f t="shared" si="45"/>
        <v>0.7365145228215768</v>
      </c>
    </row>
    <row r="263" spans="1:2" ht="15">
      <c r="A263" s="47">
        <v>38899</v>
      </c>
      <c r="B263" s="74">
        <f t="shared" si="45"/>
        <v>0.7111111111111111</v>
      </c>
    </row>
  </sheetData>
  <sheetProtection/>
  <mergeCells count="1">
    <mergeCell ref="D2:H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G19" sqref="G19:G21"/>
    </sheetView>
  </sheetViews>
  <sheetFormatPr defaultColWidth="11.421875" defaultRowHeight="12.75"/>
  <cols>
    <col min="2" max="2" width="14.140625" style="0" bestFit="1" customWidth="1"/>
    <col min="3" max="4" width="0" style="0" hidden="1" customWidth="1"/>
    <col min="5" max="5" width="13.00390625" style="0" customWidth="1"/>
    <col min="7" max="7" width="12.7109375" style="0" customWidth="1"/>
    <col min="8" max="8" width="15.57421875" style="0" bestFit="1" customWidth="1"/>
    <col min="9" max="9" width="7.7109375" style="0" customWidth="1"/>
  </cols>
  <sheetData>
    <row r="1" spans="1:13" ht="15">
      <c r="A1" s="2" t="str">
        <f>+Trinkwasser!A1</f>
        <v>Seestadt Immobilien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6" ht="20.25">
      <c r="A3" s="1" t="s">
        <v>0</v>
      </c>
      <c r="F3" s="1" t="str">
        <f>+Trinkwasser!D3</f>
        <v>2019/20</v>
      </c>
    </row>
    <row r="4" spans="1:7" ht="20.25">
      <c r="A4" s="9" t="s">
        <v>22</v>
      </c>
      <c r="B4" s="10"/>
      <c r="C4" s="10"/>
      <c r="D4" s="10"/>
      <c r="E4" s="10"/>
      <c r="F4" s="10"/>
      <c r="G4" s="11"/>
    </row>
    <row r="6" spans="1:8" ht="16.5" thickBot="1">
      <c r="A6" s="7" t="s">
        <v>52</v>
      </c>
      <c r="B6" s="7"/>
      <c r="C6" s="7"/>
      <c r="D6" s="7"/>
      <c r="E6" s="7"/>
      <c r="F6" s="75" t="s">
        <v>53</v>
      </c>
      <c r="G6" s="7"/>
      <c r="H6" s="2"/>
    </row>
    <row r="7" spans="1:8" ht="12.75">
      <c r="A7" s="12" t="s">
        <v>1</v>
      </c>
      <c r="B7" s="13" t="s">
        <v>2</v>
      </c>
      <c r="C7" s="34"/>
      <c r="D7" s="34"/>
      <c r="E7" s="14" t="s">
        <v>2</v>
      </c>
      <c r="F7" s="15" t="s">
        <v>2</v>
      </c>
      <c r="G7" s="14" t="s">
        <v>2</v>
      </c>
      <c r="H7" s="40" t="s">
        <v>5</v>
      </c>
    </row>
    <row r="8" spans="1:8" ht="12.75">
      <c r="A8" s="16"/>
      <c r="B8" s="17" t="s">
        <v>3</v>
      </c>
      <c r="C8" s="35"/>
      <c r="D8" s="35"/>
      <c r="E8" s="18" t="s">
        <v>8</v>
      </c>
      <c r="F8" s="19"/>
      <c r="G8" s="18" t="s">
        <v>8</v>
      </c>
      <c r="H8" s="41" t="s">
        <v>6</v>
      </c>
    </row>
    <row r="9" spans="1:8" ht="12.75">
      <c r="A9" s="16"/>
      <c r="B9" s="17" t="s">
        <v>4</v>
      </c>
      <c r="C9" s="35"/>
      <c r="D9" s="35"/>
      <c r="E9" s="18" t="s">
        <v>4</v>
      </c>
      <c r="F9" s="19" t="s">
        <v>4</v>
      </c>
      <c r="G9" s="18" t="s">
        <v>4</v>
      </c>
      <c r="H9" s="41" t="s">
        <v>4</v>
      </c>
    </row>
    <row r="10" spans="1:8" ht="12.75">
      <c r="A10" s="16"/>
      <c r="B10" s="125" t="s">
        <v>64</v>
      </c>
      <c r="C10" s="126"/>
      <c r="D10" s="126"/>
      <c r="E10" s="127"/>
      <c r="F10" s="128" t="s">
        <v>79</v>
      </c>
      <c r="G10" s="129"/>
      <c r="H10" s="41"/>
    </row>
    <row r="11" spans="1:8" ht="12.75">
      <c r="A11" s="16"/>
      <c r="B11" s="109" t="s">
        <v>75</v>
      </c>
      <c r="C11" s="110" t="s">
        <v>72</v>
      </c>
      <c r="D11" s="110" t="s">
        <v>72</v>
      </c>
      <c r="E11" s="111" t="s">
        <v>74</v>
      </c>
      <c r="F11" s="130" t="s">
        <v>78</v>
      </c>
      <c r="G11" s="131"/>
      <c r="H11" s="41"/>
    </row>
    <row r="12" spans="1:8" ht="13.5" thickBot="1">
      <c r="A12" s="16"/>
      <c r="B12" s="17" t="s">
        <v>18</v>
      </c>
      <c r="C12" s="35"/>
      <c r="D12" s="35"/>
      <c r="E12" s="18" t="s">
        <v>18</v>
      </c>
      <c r="F12" s="19"/>
      <c r="G12" s="84"/>
      <c r="H12" s="41"/>
    </row>
    <row r="13" spans="1:8" ht="12.75">
      <c r="A13" s="102" t="s">
        <v>24</v>
      </c>
      <c r="B13" s="86">
        <v>2478.22848</v>
      </c>
      <c r="C13" s="86">
        <v>4055</v>
      </c>
      <c r="D13" s="86">
        <v>801</v>
      </c>
      <c r="E13" s="86">
        <f>+B13</f>
        <v>2478.22848</v>
      </c>
      <c r="F13" s="87">
        <f>20*69</f>
        <v>1380</v>
      </c>
      <c r="G13" s="86">
        <f>+F13</f>
        <v>1380</v>
      </c>
      <c r="H13" s="88">
        <f aca="true" t="shared" si="0" ref="H13:H23">IF(F13=0,"",+F13-B13)</f>
        <v>-1098.2284800000002</v>
      </c>
    </row>
    <row r="14" spans="1:8" ht="12.75">
      <c r="A14" s="105" t="s">
        <v>25</v>
      </c>
      <c r="B14" s="85">
        <v>1549.11744</v>
      </c>
      <c r="C14" s="85">
        <v>6344</v>
      </c>
      <c r="D14" s="85">
        <v>801</v>
      </c>
      <c r="E14" s="85">
        <f aca="true" t="shared" si="1" ref="E14:E24">+E13+B14</f>
        <v>4027.34592</v>
      </c>
      <c r="F14" s="93">
        <f>145*20</f>
        <v>2900</v>
      </c>
      <c r="G14" s="85">
        <f aca="true" t="shared" si="2" ref="G14:G21">+F14+G13</f>
        <v>4280</v>
      </c>
      <c r="H14" s="89">
        <f t="shared" si="0"/>
        <v>1350.88256</v>
      </c>
    </row>
    <row r="15" spans="1:8" ht="12.75">
      <c r="A15" s="105" t="s">
        <v>26</v>
      </c>
      <c r="B15" s="85">
        <v>2061.7459199999994</v>
      </c>
      <c r="C15" s="85">
        <v>8044</v>
      </c>
      <c r="D15" s="85">
        <v>801</v>
      </c>
      <c r="E15" s="85">
        <f t="shared" si="1"/>
        <v>6089.091839999999</v>
      </c>
      <c r="F15" s="93">
        <v>2080</v>
      </c>
      <c r="G15" s="85">
        <f t="shared" si="2"/>
        <v>6360</v>
      </c>
      <c r="H15" s="89">
        <f t="shared" si="0"/>
        <v>18.254080000000613</v>
      </c>
    </row>
    <row r="16" spans="1:8" ht="12.75">
      <c r="A16" s="105" t="s">
        <v>27</v>
      </c>
      <c r="B16" s="85">
        <v>2493.0547199999996</v>
      </c>
      <c r="C16" s="85">
        <v>11010</v>
      </c>
      <c r="D16" s="85">
        <v>801</v>
      </c>
      <c r="E16" s="85">
        <f t="shared" si="1"/>
        <v>8582.14656</v>
      </c>
      <c r="F16" s="93">
        <v>3540</v>
      </c>
      <c r="G16" s="85">
        <f t="shared" si="2"/>
        <v>9900</v>
      </c>
      <c r="H16" s="89">
        <f t="shared" si="0"/>
        <v>1046.9452800000004</v>
      </c>
    </row>
    <row r="17" spans="1:8" ht="12.75">
      <c r="A17" s="105" t="s">
        <v>28</v>
      </c>
      <c r="B17" s="85">
        <v>2239.21152</v>
      </c>
      <c r="C17" s="85">
        <v>9619</v>
      </c>
      <c r="D17" s="85">
        <v>801</v>
      </c>
      <c r="E17" s="85">
        <f t="shared" si="1"/>
        <v>10821.358079999998</v>
      </c>
      <c r="F17" s="93">
        <v>2800</v>
      </c>
      <c r="G17" s="85">
        <f t="shared" si="2"/>
        <v>12700</v>
      </c>
      <c r="H17" s="89">
        <f t="shared" si="0"/>
        <v>560.7884800000002</v>
      </c>
    </row>
    <row r="18" spans="1:8" ht="12.75">
      <c r="A18" s="105" t="s">
        <v>29</v>
      </c>
      <c r="B18" s="85">
        <v>2195.18208</v>
      </c>
      <c r="C18" s="85">
        <v>13879</v>
      </c>
      <c r="D18" s="85">
        <v>801</v>
      </c>
      <c r="E18" s="85">
        <f t="shared" si="1"/>
        <v>13016.540159999999</v>
      </c>
      <c r="F18" s="93">
        <v>3900</v>
      </c>
      <c r="G18" s="85">
        <f t="shared" si="2"/>
        <v>16600</v>
      </c>
      <c r="H18" s="89">
        <f t="shared" si="0"/>
        <v>1704.81792</v>
      </c>
    </row>
    <row r="19" spans="1:8" ht="12.75">
      <c r="A19" s="105" t="s">
        <v>30</v>
      </c>
      <c r="B19" s="85">
        <v>2199.67488</v>
      </c>
      <c r="C19" s="85">
        <v>11829</v>
      </c>
      <c r="D19" s="85">
        <v>801</v>
      </c>
      <c r="E19" s="85">
        <f t="shared" si="1"/>
        <v>15216.21504</v>
      </c>
      <c r="F19" s="93">
        <v>2400</v>
      </c>
      <c r="G19" s="85">
        <f t="shared" si="2"/>
        <v>19000</v>
      </c>
      <c r="H19" s="89">
        <f t="shared" si="0"/>
        <v>200.32511999999997</v>
      </c>
    </row>
    <row r="20" spans="1:8" ht="12.75">
      <c r="A20" s="105" t="s">
        <v>31</v>
      </c>
      <c r="B20" s="85">
        <v>2060.39808</v>
      </c>
      <c r="C20" s="85">
        <v>9856</v>
      </c>
      <c r="D20" s="85">
        <v>801</v>
      </c>
      <c r="E20" s="85">
        <f t="shared" si="1"/>
        <v>17276.613119999998</v>
      </c>
      <c r="F20" s="93">
        <v>2640</v>
      </c>
      <c r="G20" s="85">
        <f t="shared" si="2"/>
        <v>21640</v>
      </c>
      <c r="H20" s="89">
        <f t="shared" si="0"/>
        <v>579.6019200000001</v>
      </c>
    </row>
    <row r="21" spans="1:8" ht="12.75">
      <c r="A21" s="105" t="s">
        <v>32</v>
      </c>
      <c r="B21" s="85">
        <v>1415.232</v>
      </c>
      <c r="C21" s="85">
        <v>5932</v>
      </c>
      <c r="D21" s="85">
        <v>801</v>
      </c>
      <c r="E21" s="85">
        <f t="shared" si="1"/>
        <v>18691.845119999998</v>
      </c>
      <c r="F21" s="93">
        <v>1360</v>
      </c>
      <c r="G21" s="85">
        <f t="shared" si="2"/>
        <v>23000</v>
      </c>
      <c r="H21" s="89">
        <f t="shared" si="0"/>
        <v>-55.23199999999997</v>
      </c>
    </row>
    <row r="22" spans="1:8" ht="12.75">
      <c r="A22" s="105" t="s">
        <v>33</v>
      </c>
      <c r="B22" s="85">
        <v>1611.1180799999997</v>
      </c>
      <c r="C22" s="85">
        <v>6295</v>
      </c>
      <c r="D22" s="85">
        <v>801</v>
      </c>
      <c r="E22" s="85">
        <f t="shared" si="1"/>
        <v>20302.9632</v>
      </c>
      <c r="F22" s="93"/>
      <c r="G22" s="85"/>
      <c r="H22" s="89">
        <f t="shared" si="0"/>
      </c>
    </row>
    <row r="23" spans="1:8" ht="12.75">
      <c r="A23" s="105" t="s">
        <v>34</v>
      </c>
      <c r="B23" s="85">
        <v>1922.9183999999998</v>
      </c>
      <c r="C23" s="85">
        <v>5470</v>
      </c>
      <c r="D23" s="85">
        <v>801</v>
      </c>
      <c r="E23" s="85">
        <f t="shared" si="1"/>
        <v>22225.881599999997</v>
      </c>
      <c r="F23" s="93"/>
      <c r="G23" s="85"/>
      <c r="H23" s="89">
        <f t="shared" si="0"/>
      </c>
    </row>
    <row r="24" spans="1:8" ht="13.5" thickBot="1">
      <c r="A24" s="107" t="s">
        <v>35</v>
      </c>
      <c r="B24" s="90">
        <v>2152.94976</v>
      </c>
      <c r="C24" s="90">
        <v>3599</v>
      </c>
      <c r="D24" s="90">
        <v>801</v>
      </c>
      <c r="E24" s="90">
        <f t="shared" si="1"/>
        <v>24378.831359999996</v>
      </c>
      <c r="F24" s="98"/>
      <c r="G24" s="90"/>
      <c r="H24" s="99">
        <f>IF(F24=0,"",+F24-B24)</f>
      </c>
    </row>
    <row r="25" spans="1:8" ht="12" customHeight="1">
      <c r="A25" s="4"/>
      <c r="B25" s="4"/>
      <c r="C25" s="4">
        <f>SUM(C13:C24)</f>
        <v>95932</v>
      </c>
      <c r="D25" s="4"/>
      <c r="E25" s="6" t="s">
        <v>7</v>
      </c>
      <c r="F25" s="6"/>
      <c r="G25" s="6"/>
      <c r="H25" s="38">
        <f>SUM(H13:H24)</f>
        <v>4308.154880000001</v>
      </c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3"/>
      <c r="B27" s="3"/>
      <c r="C27" s="3">
        <f>+C26/12</f>
        <v>0</v>
      </c>
      <c r="D27" s="3"/>
      <c r="E27" s="4"/>
      <c r="F27" s="3"/>
      <c r="G27" s="4"/>
      <c r="H27" s="3"/>
    </row>
    <row r="51" spans="1:4" ht="12.75">
      <c r="A51" s="8"/>
      <c r="B51" s="8"/>
      <c r="C51" s="8"/>
      <c r="D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</sheetData>
  <sheetProtection/>
  <mergeCells count="3">
    <mergeCell ref="B10:E10"/>
    <mergeCell ref="F10:G10"/>
    <mergeCell ref="F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6" max="6" width="15.57421875" style="0" customWidth="1"/>
    <col min="7" max="7" width="13.8515625" style="0" customWidth="1"/>
  </cols>
  <sheetData>
    <row r="1" spans="1:11" ht="15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5" ht="20.25">
      <c r="A3" s="31" t="s">
        <v>0</v>
      </c>
      <c r="B3" s="32"/>
      <c r="C3" s="31"/>
      <c r="D3" s="31" t="str">
        <f>+'Heizenergie RED'!E3</f>
        <v>2019/20</v>
      </c>
      <c r="E3" s="32"/>
    </row>
    <row r="4" spans="1:5" ht="20.25">
      <c r="A4" s="9" t="s">
        <v>22</v>
      </c>
      <c r="B4" s="10"/>
      <c r="C4" s="10"/>
      <c r="D4" s="10"/>
      <c r="E4" s="11"/>
    </row>
    <row r="6" spans="1:6" ht="16.5" thickBot="1">
      <c r="A6" s="7" t="s">
        <v>10</v>
      </c>
      <c r="B6" s="2"/>
      <c r="C6" s="2"/>
      <c r="D6" s="2"/>
      <c r="E6" s="2"/>
      <c r="F6" s="2"/>
    </row>
    <row r="7" spans="1:6" ht="12.75">
      <c r="A7" s="12" t="s">
        <v>1</v>
      </c>
      <c r="B7" s="13" t="s">
        <v>2</v>
      </c>
      <c r="C7" s="29" t="s">
        <v>2</v>
      </c>
      <c r="D7" s="15" t="s">
        <v>2</v>
      </c>
      <c r="E7" s="14" t="s">
        <v>2</v>
      </c>
      <c r="F7" s="40" t="s">
        <v>5</v>
      </c>
    </row>
    <row r="8" spans="1:6" ht="12.75">
      <c r="A8" s="16"/>
      <c r="B8" s="17" t="s">
        <v>3</v>
      </c>
      <c r="C8" s="26" t="s">
        <v>8</v>
      </c>
      <c r="D8" s="19"/>
      <c r="E8" s="18" t="s">
        <v>8</v>
      </c>
      <c r="F8" s="41" t="s">
        <v>6</v>
      </c>
    </row>
    <row r="9" spans="1:6" ht="12.75">
      <c r="A9" s="16"/>
      <c r="B9" s="17" t="s">
        <v>11</v>
      </c>
      <c r="C9" s="30" t="s">
        <v>11</v>
      </c>
      <c r="D9" s="19" t="s">
        <v>11</v>
      </c>
      <c r="E9" s="18" t="s">
        <v>11</v>
      </c>
      <c r="F9" s="41" t="s">
        <v>11</v>
      </c>
    </row>
    <row r="10" spans="1:6" ht="12.75">
      <c r="A10" s="16"/>
      <c r="B10" s="118" t="s">
        <v>51</v>
      </c>
      <c r="C10" s="119" t="s">
        <v>73</v>
      </c>
      <c r="D10" s="19"/>
      <c r="E10" s="18"/>
      <c r="F10" s="41"/>
    </row>
    <row r="11" spans="1:6" ht="12.75">
      <c r="A11" s="16"/>
      <c r="B11" s="109" t="s">
        <v>51</v>
      </c>
      <c r="C11" s="111" t="s">
        <v>54</v>
      </c>
      <c r="D11" s="19"/>
      <c r="E11" s="18"/>
      <c r="F11" s="41"/>
    </row>
    <row r="12" spans="1:6" ht="12.75">
      <c r="A12" s="16"/>
      <c r="B12" s="112" t="s">
        <v>51</v>
      </c>
      <c r="C12" s="113" t="s">
        <v>56</v>
      </c>
      <c r="D12" s="19"/>
      <c r="E12" s="18"/>
      <c r="F12" s="41"/>
    </row>
    <row r="13" spans="1:6" ht="12.75">
      <c r="A13" s="16"/>
      <c r="B13" s="114" t="s">
        <v>51</v>
      </c>
      <c r="C13" s="115" t="s">
        <v>57</v>
      </c>
      <c r="D13" s="19"/>
      <c r="E13" s="18"/>
      <c r="F13" s="41"/>
    </row>
    <row r="14" spans="1:6" ht="12.75">
      <c r="A14" s="16"/>
      <c r="B14" s="116" t="s">
        <v>51</v>
      </c>
      <c r="C14" s="117" t="s">
        <v>70</v>
      </c>
      <c r="D14" s="19"/>
      <c r="E14" s="18"/>
      <c r="F14" s="41"/>
    </row>
    <row r="15" spans="1:6" ht="13.5" thickBot="1">
      <c r="A15" s="16"/>
      <c r="B15" s="17" t="s">
        <v>18</v>
      </c>
      <c r="C15" s="26" t="s">
        <v>18</v>
      </c>
      <c r="D15" s="19"/>
      <c r="E15" s="84"/>
      <c r="F15" s="41"/>
    </row>
    <row r="16" spans="1:6" ht="12.75">
      <c r="A16" s="102" t="s">
        <v>24</v>
      </c>
      <c r="B16" s="86">
        <v>25</v>
      </c>
      <c r="C16" s="86">
        <f>+B16</f>
        <v>25</v>
      </c>
      <c r="D16" s="87">
        <f>+B16</f>
        <v>25</v>
      </c>
      <c r="E16" s="86">
        <f>+D16</f>
        <v>25</v>
      </c>
      <c r="F16" s="88">
        <f>IF(D16=0,"",+D16-B16)</f>
        <v>0</v>
      </c>
    </row>
    <row r="17" spans="1:6" ht="12.75">
      <c r="A17" s="105" t="s">
        <v>25</v>
      </c>
      <c r="B17" s="85">
        <v>29.12</v>
      </c>
      <c r="C17" s="85">
        <f aca="true" t="shared" si="0" ref="C17:C27">+C16+B17</f>
        <v>54.120000000000005</v>
      </c>
      <c r="D17" s="93">
        <v>60</v>
      </c>
      <c r="E17" s="85">
        <f aca="true" t="shared" si="1" ref="E17:E24">+D17+E16</f>
        <v>85</v>
      </c>
      <c r="F17" s="89">
        <f>IF(D17=0,"",+D17-B17)</f>
        <v>30.88</v>
      </c>
    </row>
    <row r="18" spans="1:6" ht="12.75">
      <c r="A18" s="105" t="s">
        <v>26</v>
      </c>
      <c r="B18" s="85">
        <v>28.21</v>
      </c>
      <c r="C18" s="85">
        <f t="shared" si="0"/>
        <v>82.33000000000001</v>
      </c>
      <c r="D18" s="93">
        <v>26</v>
      </c>
      <c r="E18" s="85">
        <f t="shared" si="1"/>
        <v>111</v>
      </c>
      <c r="F18" s="89">
        <f>IF(D18=0,"",+D18-B18)</f>
        <v>-2.210000000000001</v>
      </c>
    </row>
    <row r="19" spans="1:6" ht="12.75">
      <c r="A19" s="105" t="s">
        <v>27</v>
      </c>
      <c r="B19" s="85">
        <v>32.76</v>
      </c>
      <c r="C19" s="85">
        <f t="shared" si="0"/>
        <v>115.09</v>
      </c>
      <c r="D19" s="93">
        <v>42</v>
      </c>
      <c r="E19" s="85">
        <f t="shared" si="1"/>
        <v>153</v>
      </c>
      <c r="F19" s="89">
        <f aca="true" t="shared" si="2" ref="F19:F24">IF(D19=0,"",+D19-B19)</f>
        <v>9.240000000000002</v>
      </c>
    </row>
    <row r="20" spans="1:6" ht="12.75">
      <c r="A20" s="105" t="s">
        <v>28</v>
      </c>
      <c r="B20" s="85">
        <v>21.84</v>
      </c>
      <c r="C20" s="85">
        <f t="shared" si="0"/>
        <v>136.93</v>
      </c>
      <c r="D20" s="93">
        <v>40</v>
      </c>
      <c r="E20" s="85">
        <f t="shared" si="1"/>
        <v>193</v>
      </c>
      <c r="F20" s="89">
        <f>IF(D20=0,"",+D20-B20)</f>
        <v>18.16</v>
      </c>
    </row>
    <row r="21" spans="1:6" ht="12.75">
      <c r="A21" s="105" t="s">
        <v>29</v>
      </c>
      <c r="B21" s="85">
        <v>30.03</v>
      </c>
      <c r="C21" s="85">
        <f t="shared" si="0"/>
        <v>166.96</v>
      </c>
      <c r="D21" s="93">
        <v>49</v>
      </c>
      <c r="E21" s="85">
        <f t="shared" si="1"/>
        <v>242</v>
      </c>
      <c r="F21" s="89">
        <f t="shared" si="2"/>
        <v>18.97</v>
      </c>
    </row>
    <row r="22" spans="1:6" ht="12.75">
      <c r="A22" s="105" t="s">
        <v>30</v>
      </c>
      <c r="B22" s="85">
        <v>31.85</v>
      </c>
      <c r="C22" s="85">
        <f t="shared" si="0"/>
        <v>198.81</v>
      </c>
      <c r="D22" s="93">
        <v>29</v>
      </c>
      <c r="E22" s="85">
        <f t="shared" si="1"/>
        <v>271</v>
      </c>
      <c r="F22" s="89">
        <f>IF(D22=0,"",+D22-B22)</f>
        <v>-2.8500000000000014</v>
      </c>
    </row>
    <row r="23" spans="1:6" ht="12.75">
      <c r="A23" s="105" t="s">
        <v>31</v>
      </c>
      <c r="B23" s="85">
        <v>32.76</v>
      </c>
      <c r="C23" s="85">
        <f t="shared" si="0"/>
        <v>231.57</v>
      </c>
      <c r="D23" s="93">
        <v>38</v>
      </c>
      <c r="E23" s="85">
        <f t="shared" si="1"/>
        <v>309</v>
      </c>
      <c r="F23" s="89">
        <f>IF(D23=0,"",+D23-B23)</f>
        <v>5.240000000000002</v>
      </c>
    </row>
    <row r="24" spans="1:6" ht="12.75">
      <c r="A24" s="105" t="s">
        <v>32</v>
      </c>
      <c r="B24" s="85">
        <v>25.48</v>
      </c>
      <c r="C24" s="85">
        <f t="shared" si="0"/>
        <v>257.05</v>
      </c>
      <c r="D24" s="93">
        <v>11</v>
      </c>
      <c r="E24" s="85">
        <f t="shared" si="1"/>
        <v>320</v>
      </c>
      <c r="F24" s="89">
        <f t="shared" si="2"/>
        <v>-14.48</v>
      </c>
    </row>
    <row r="25" spans="1:6" ht="12.75">
      <c r="A25" s="105" t="s">
        <v>33</v>
      </c>
      <c r="B25" s="85">
        <v>19.11</v>
      </c>
      <c r="C25" s="85">
        <f t="shared" si="0"/>
        <v>276.16</v>
      </c>
      <c r="D25" s="93"/>
      <c r="E25" s="85"/>
      <c r="F25" s="89">
        <f>IF(D25=0,"",+D25-B25)</f>
      </c>
    </row>
    <row r="26" spans="1:6" ht="12.75">
      <c r="A26" s="105" t="s">
        <v>34</v>
      </c>
      <c r="B26" s="85">
        <v>46.41</v>
      </c>
      <c r="C26" s="85">
        <f t="shared" si="0"/>
        <v>322.57000000000005</v>
      </c>
      <c r="D26" s="93"/>
      <c r="E26" s="85"/>
      <c r="F26" s="89">
        <f>IF(D26=0,"",+D26-B26)</f>
      </c>
    </row>
    <row r="27" spans="1:6" ht="13.5" thickBot="1">
      <c r="A27" s="107" t="s">
        <v>35</v>
      </c>
      <c r="B27" s="90">
        <v>20.02</v>
      </c>
      <c r="C27" s="90">
        <f t="shared" si="0"/>
        <v>342.59000000000003</v>
      </c>
      <c r="D27" s="98"/>
      <c r="E27" s="90"/>
      <c r="F27" s="99">
        <f>IF(D27=0,"",+D27-B27)</f>
      </c>
    </row>
    <row r="28" spans="1:6" ht="12.75">
      <c r="A28" s="4"/>
      <c r="B28" s="4"/>
      <c r="C28" s="6" t="s">
        <v>71</v>
      </c>
      <c r="D28" s="6"/>
      <c r="E28" s="6"/>
      <c r="F28" s="38">
        <f>SUM(F16:F27)</f>
        <v>62.95</v>
      </c>
    </row>
    <row r="29" spans="1:6" ht="12.75">
      <c r="A29" s="94"/>
      <c r="B29" s="3"/>
      <c r="C29" s="3"/>
      <c r="D29" s="3"/>
      <c r="E29" s="3"/>
      <c r="F29" s="3"/>
    </row>
    <row r="30" spans="1:2" ht="12.75">
      <c r="A30" s="94" t="s">
        <v>80</v>
      </c>
      <c r="B30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2019-09-24T04:59:35Z</cp:lastPrinted>
  <dcterms:created xsi:type="dcterms:W3CDTF">1999-04-30T04:59:30Z</dcterms:created>
  <dcterms:modified xsi:type="dcterms:W3CDTF">2020-06-18T06:39:46Z</dcterms:modified>
  <cp:category/>
  <cp:version/>
  <cp:contentType/>
  <cp:contentStatus/>
</cp:coreProperties>
</file>